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caa-my.sharepoint.com/personal/mdauby_incap_org/Documents/Wx Training Department/Intelligent Weatherization Website/"/>
    </mc:Choice>
  </mc:AlternateContent>
  <bookViews>
    <workbookView xWindow="0" yWindow="0" windowWidth="23040" windowHeight="9072"/>
  </bookViews>
  <sheets>
    <sheet name="Billing Analysis" sheetId="2" r:id="rId1"/>
  </sheets>
  <definedNames>
    <definedName name="_xlnm.Print_Area" localSheetId="0">'Billing Analysis'!$A$1:$K$47</definedName>
  </definedNames>
  <calcPr calcId="162913"/>
</workbook>
</file>

<file path=xl/calcChain.xml><?xml version="1.0" encoding="utf-8"?>
<calcChain xmlns="http://schemas.openxmlformats.org/spreadsheetml/2006/main">
  <c r="P37" i="2" l="1"/>
  <c r="Q118" i="2"/>
  <c r="Q110" i="2"/>
  <c r="Q108" i="2"/>
  <c r="Q96" i="2"/>
  <c r="Q84" i="2"/>
  <c r="Q78" i="2"/>
  <c r="Q76" i="2"/>
  <c r="Q70" i="2"/>
  <c r="Q64" i="2"/>
  <c r="Q60" i="2"/>
  <c r="Q56" i="2"/>
  <c r="Q54" i="2"/>
  <c r="Q52" i="2"/>
  <c r="Q49" i="2"/>
  <c r="Q48" i="2"/>
  <c r="Q44" i="2"/>
  <c r="Q41" i="2"/>
  <c r="Q40" i="2"/>
  <c r="S45" i="2"/>
  <c r="Q124" i="2" s="1"/>
  <c r="S44" i="2"/>
  <c r="Q123" i="2" s="1"/>
  <c r="S43" i="2"/>
  <c r="Q131" i="2" s="1"/>
  <c r="S42" i="2"/>
  <c r="Q67" i="2" s="1"/>
  <c r="S41" i="2"/>
  <c r="Q97" i="2" s="1"/>
  <c r="S40" i="2"/>
  <c r="Q114" i="2" s="1"/>
  <c r="Q68" i="2" l="1"/>
  <c r="Q92" i="2"/>
  <c r="Q100" i="2"/>
  <c r="Q116" i="2"/>
  <c r="Q45" i="2"/>
  <c r="Q53" i="2"/>
  <c r="Q61" i="2"/>
  <c r="Q69" i="2"/>
  <c r="Q77" i="2"/>
  <c r="Q85" i="2"/>
  <c r="Q93" i="2"/>
  <c r="Q101" i="2"/>
  <c r="Q109" i="2"/>
  <c r="Q117" i="2"/>
  <c r="Q125" i="2"/>
  <c r="Q126" i="2"/>
  <c r="Q46" i="2"/>
  <c r="Q86" i="2"/>
  <c r="Q94" i="2"/>
  <c r="Q102" i="2"/>
  <c r="Q47" i="2"/>
  <c r="Q55" i="2"/>
  <c r="Q63" i="2"/>
  <c r="Q71" i="2"/>
  <c r="Q79" i="2"/>
  <c r="Q87" i="2"/>
  <c r="Q95" i="2"/>
  <c r="Q103" i="2"/>
  <c r="Q111" i="2"/>
  <c r="Q119" i="2"/>
  <c r="Q127" i="2"/>
  <c r="Q128" i="2"/>
  <c r="Q72" i="2"/>
  <c r="Q120" i="2"/>
  <c r="Q57" i="2"/>
  <c r="Q65" i="2"/>
  <c r="Q73" i="2"/>
  <c r="Q81" i="2"/>
  <c r="Q89" i="2"/>
  <c r="Q105" i="2"/>
  <c r="Q113" i="2"/>
  <c r="Q121" i="2"/>
  <c r="Q129" i="2"/>
  <c r="Q62" i="2"/>
  <c r="Q88" i="2"/>
  <c r="Q112" i="2"/>
  <c r="Q42" i="2"/>
  <c r="Q50" i="2"/>
  <c r="Q58" i="2"/>
  <c r="Q66" i="2"/>
  <c r="Q74" i="2"/>
  <c r="Q82" i="2"/>
  <c r="Q90" i="2"/>
  <c r="Q98" i="2"/>
  <c r="Q106" i="2"/>
  <c r="Q122" i="2"/>
  <c r="Q130" i="2"/>
  <c r="Q80" i="2"/>
  <c r="Q104" i="2"/>
  <c r="Q43" i="2"/>
  <c r="Q51" i="2"/>
  <c r="Q59" i="2"/>
  <c r="Q75" i="2"/>
  <c r="Q83" i="2"/>
  <c r="Q91" i="2"/>
  <c r="Q99" i="2"/>
  <c r="Q107" i="2"/>
  <c r="Q115" i="2"/>
  <c r="S20" i="2"/>
  <c r="S18" i="2"/>
  <c r="S17" i="2"/>
  <c r="S16" i="2"/>
  <c r="X25" i="2"/>
  <c r="X24" i="2"/>
  <c r="X23" i="2"/>
  <c r="X22" i="2"/>
  <c r="X21" i="2"/>
  <c r="X20" i="2"/>
  <c r="X19" i="2"/>
  <c r="X18" i="2"/>
  <c r="X17" i="2"/>
  <c r="X16" i="2"/>
  <c r="X15" i="2"/>
  <c r="X14" i="2"/>
  <c r="V15" i="2"/>
  <c r="V16" i="2"/>
  <c r="V17" i="2"/>
  <c r="V18" i="2"/>
  <c r="V19" i="2"/>
  <c r="V20" i="2"/>
  <c r="V21" i="2"/>
  <c r="V22" i="2"/>
  <c r="V23" i="2"/>
  <c r="V24" i="2"/>
  <c r="V25" i="2"/>
  <c r="V14" i="2"/>
  <c r="D26" i="2"/>
  <c r="P27" i="2"/>
  <c r="P26" i="2"/>
  <c r="P25" i="2"/>
  <c r="P18" i="2"/>
  <c r="P17" i="2"/>
  <c r="P16" i="2"/>
  <c r="S19" i="2" l="1"/>
  <c r="S21" i="2" s="1"/>
  <c r="P19" i="2"/>
  <c r="P20" i="2" s="1"/>
  <c r="D28" i="2" l="1"/>
  <c r="P28" i="2"/>
  <c r="B26" i="2"/>
  <c r="P21" i="2" s="1"/>
  <c r="B28" i="2" s="1"/>
  <c r="G20" i="2" l="1"/>
  <c r="G24" i="2"/>
  <c r="G21" i="2"/>
  <c r="G25" i="2"/>
  <c r="J1" i="2"/>
  <c r="G22" i="2"/>
  <c r="G26" i="2"/>
  <c r="G23" i="2"/>
  <c r="G27" i="2"/>
</calcChain>
</file>

<file path=xl/sharedStrings.xml><?xml version="1.0" encoding="utf-8"?>
<sst xmlns="http://schemas.openxmlformats.org/spreadsheetml/2006/main" count="252" uniqueCount="151">
  <si>
    <t>December</t>
  </si>
  <si>
    <t>January</t>
  </si>
  <si>
    <t>February</t>
  </si>
  <si>
    <t>June</t>
  </si>
  <si>
    <t>July</t>
  </si>
  <si>
    <t>August</t>
  </si>
  <si>
    <t>September</t>
  </si>
  <si>
    <t>October</t>
  </si>
  <si>
    <t>November</t>
  </si>
  <si>
    <t>March</t>
  </si>
  <si>
    <t>April</t>
  </si>
  <si>
    <t>May</t>
  </si>
  <si>
    <t>Name:</t>
  </si>
  <si>
    <t>Address:</t>
  </si>
  <si>
    <t>Phone:</t>
  </si>
  <si>
    <t>Account#:</t>
  </si>
  <si>
    <t>Monthly Consumption</t>
  </si>
  <si>
    <t>Annual</t>
  </si>
  <si>
    <t>House sqft</t>
  </si>
  <si>
    <t>Average</t>
  </si>
  <si>
    <t>Shallow</t>
  </si>
  <si>
    <t>600 sqft</t>
  </si>
  <si>
    <t>700 sqft</t>
  </si>
  <si>
    <t>800 sqft</t>
  </si>
  <si>
    <t>1000 sqft</t>
  </si>
  <si>
    <t>1200 sqft</t>
  </si>
  <si>
    <t>1500 sqft</t>
  </si>
  <si>
    <t>2000 sqft</t>
  </si>
  <si>
    <t>2500 sqft</t>
  </si>
  <si>
    <t>HHI</t>
  </si>
  <si>
    <t>Min</t>
  </si>
  <si>
    <t>Min2</t>
  </si>
  <si>
    <t>Min3</t>
  </si>
  <si>
    <t>Heating</t>
  </si>
  <si>
    <t>3rd</t>
  </si>
  <si>
    <t>4th</t>
  </si>
  <si>
    <t>5th</t>
  </si>
  <si>
    <t>Pre Wx Home Heating Index</t>
  </si>
  <si>
    <t>HDD</t>
  </si>
  <si>
    <t>Auditor(s):</t>
  </si>
  <si>
    <t>Natural Gas</t>
  </si>
  <si>
    <t>Nat. Gas</t>
  </si>
  <si>
    <t>Electricity</t>
  </si>
  <si>
    <t>Gas Utility:</t>
  </si>
  <si>
    <t>Ele Utility:</t>
  </si>
  <si>
    <t>btu conversions</t>
  </si>
  <si>
    <t>Primary Fuel:</t>
  </si>
  <si>
    <t>County:</t>
  </si>
  <si>
    <t>Nat Gas</t>
  </si>
  <si>
    <t>Electric</t>
  </si>
  <si>
    <t>Winter</t>
  </si>
  <si>
    <t>Adams</t>
  </si>
  <si>
    <t>FTWAYNE</t>
  </si>
  <si>
    <t>Allen</t>
  </si>
  <si>
    <t>Bartholomew</t>
  </si>
  <si>
    <t>INDY</t>
  </si>
  <si>
    <t>Benton</t>
  </si>
  <si>
    <t>Blackford</t>
  </si>
  <si>
    <t>Boone</t>
  </si>
  <si>
    <t>Brown</t>
  </si>
  <si>
    <t>Carroll</t>
  </si>
  <si>
    <t>SB</t>
  </si>
  <si>
    <t>Cass</t>
  </si>
  <si>
    <t>Clark</t>
  </si>
  <si>
    <t>CIN</t>
  </si>
  <si>
    <t>Clay</t>
  </si>
  <si>
    <t>Clinton</t>
  </si>
  <si>
    <t>Crawford</t>
  </si>
  <si>
    <t>EVANS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</si>
  <si>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</si>
  <si>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</si>
  <si>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</si>
  <si>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</si>
  <si>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</si>
  <si>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</si>
  <si>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</si>
  <si>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</si>
  <si>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</si>
  <si>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</si>
  <si>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</si>
  <si>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</si>
  <si>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</si>
  <si>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</si>
  <si>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</si>
  <si>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</si>
  <si>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</si>
  <si>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</si>
  <si>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</si>
  <si>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</si>
  <si>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</si>
  <si>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</si>
  <si>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</si>
  <si>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</si>
  <si>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CHI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</si>
  <si>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</si>
  <si>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</si>
  <si>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</si>
  <si>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</si>
  <si>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</si>
  <si>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</si>
  <si>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</si>
  <si>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</si>
  <si>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</si>
  <si>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</si>
  <si>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</si>
  <si>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</si>
  <si>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</si>
  <si>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</si>
  <si>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</si>
  <si>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</si>
  <si>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</si>
  <si>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</si>
  <si>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</si>
  <si>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</si>
  <si>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</si>
  <si>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</si>
  <si>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</si>
  <si>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</si>
  <si>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</si>
  <si>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</si>
  <si>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</si>
  <si>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</si>
  <si>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</si>
  <si>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</si>
  <si>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</si>
  <si>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</si>
  <si>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</si>
  <si>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Scott</t>
  </si>
  <si>
    <t>Shelby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</si>
  <si>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</si>
  <si>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</si>
  <si>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</si>
  <si>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</si>
  <si>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</si>
  <si>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</si>
  <si>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</si>
  <si>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</si>
  <si>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</si>
  <si>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</si>
  <si>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</si>
  <si>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</si>
  <si>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</si>
  <si>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</si>
  <si>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</si>
  <si>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</si>
  <si>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</si>
  <si>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</si>
  <si>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</si>
  <si>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</si>
  <si>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Billing Analysis data collection</t>
  </si>
  <si>
    <t>Approximate Home Heating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</si>
</sst>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0" fillId="0" borderId="2" xfId="0" applyBorder="1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0" borderId="4" xfId="0" applyBorder="1" applyProtection="1">
      <protection locked="0"/>
    </xf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/>
    <xf numFmtId="0" fontId="0" fillId="0" borderId="2" xfId="0" applyFill="1" applyBorder="1"/>
    <xf numFmtId="0" fontId="6" fillId="2" borderId="1" xfId="0" applyFont="1" applyFill="1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9" fontId="0" fillId="0" borderId="0" xfId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1" fillId="0" borderId="0" xfId="0" applyNumberFormat="1" applyFont="1" applyFill="1" applyBorder="1"/>
    <xf numFmtId="1" fontId="6" fillId="2" borderId="1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" fontId="0" fillId="0" borderId="0" xfId="0" applyNumberFormat="1" applyAlignment="1">
      <alignment horizontal="center"/>
    </xf>
    <xf numFmtId="0" fontId="0" fillId="0" borderId="13" xfId="0" applyBorder="1" applyProtection="1">
      <protection locked="0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0" borderId="0" xfId="0" applyFont="1"/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Consumption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'Billing Analysis'!$B$13</c:f>
              <c:strCache>
                <c:ptCount val="1"/>
                <c:pt idx="0">
                  <c:v>Nat. Gas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'Billing Analysis'!$A$14:$A$25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'Billing Analysis'!$V$14:$V$25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8-4D67-A83C-D76B1A64C4B6}"/>
            </c:ext>
          </c:extLst>
        </c:ser>
        <c:ser>
          <c:idx val="1"/>
          <c:order val="1"/>
          <c:tx>
            <c:strRef>
              <c:f>'Billing Analysis'!$D$13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'Billing Analysis'!$A$14:$A$25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'Billing Analysis'!$X$14:$X$25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38-4D67-A83C-D76B1A64C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86305792"/>
        <c:axId val="86835968"/>
      </c:barChart>
      <c:catAx>
        <c:axId val="863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6835968"/>
        <c:crosses val="autoZero"/>
        <c:auto val="1"/>
        <c:lblAlgn val="ctr"/>
        <c:lblOffset val="100"/>
        <c:noMultiLvlLbl val="0"/>
      </c:catAx>
      <c:valAx>
        <c:axId val="86835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btus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63057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29</xdr:row>
      <xdr:rowOff>19050</xdr:rowOff>
    </xdr:from>
    <xdr:to>
      <xdr:col>9</xdr:col>
      <xdr:colOff>609600</xdr:colOff>
      <xdr:row>46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showGridLines="0" tabSelected="1" workbookViewId="0">
      <selection activeCell="G19" sqref="G19"/>
    </sheetView>
  </sheetViews>
  <sheetFormatPr defaultRowHeight="14.4" x14ac:dyDescent="0.3"/>
  <cols>
    <col min="1" max="1" width="10.77734375" customWidth="1"/>
    <col min="2" max="2" width="10.21875" customWidth="1"/>
    <col min="3" max="3" width="1.77734375" customWidth="1"/>
    <col min="4" max="4" width="9.44140625" customWidth="1"/>
    <col min="5" max="5" width="16.77734375" customWidth="1"/>
    <col min="6" max="6" width="9.5546875" style="4" customWidth="1"/>
    <col min="7" max="7" width="10.21875" customWidth="1"/>
    <col min="8" max="8" width="1.77734375" customWidth="1"/>
    <col min="9" max="9" width="7.109375" customWidth="1"/>
    <col min="10" max="10" width="9.88671875" customWidth="1"/>
    <col min="11" max="11" width="1.77734375" style="4" customWidth="1"/>
    <col min="12" max="12" width="6.44140625" customWidth="1"/>
    <col min="13" max="13" width="9.109375" style="4" customWidth="1"/>
    <col min="14" max="14" width="9.109375" customWidth="1"/>
    <col min="15" max="19" width="9.109375" hidden="1" customWidth="1"/>
    <col min="20" max="25" width="9.109375" customWidth="1"/>
  </cols>
  <sheetData>
    <row r="1" spans="1:24" ht="21.6" thickBot="1" x14ac:dyDescent="0.45">
      <c r="A1" s="2" t="s">
        <v>149</v>
      </c>
      <c r="F1" s="37" t="s">
        <v>37</v>
      </c>
      <c r="G1" s="37"/>
      <c r="H1" s="37"/>
      <c r="I1" s="38"/>
      <c r="J1" s="17" t="str">
        <f>IF(F16="natural gas",B28,D28)</f>
        <v>.</v>
      </c>
    </row>
    <row r="2" spans="1:24" s="4" customFormat="1" ht="6" customHeight="1" x14ac:dyDescent="0.35">
      <c r="A2" s="2"/>
    </row>
    <row r="3" spans="1:24" x14ac:dyDescent="0.3">
      <c r="A3" t="s">
        <v>12</v>
      </c>
      <c r="B3" s="33"/>
      <c r="C3" s="33"/>
      <c r="D3" s="33"/>
      <c r="E3" s="33"/>
      <c r="F3" s="33"/>
      <c r="G3" s="33"/>
      <c r="H3" s="33"/>
      <c r="I3" s="33"/>
    </row>
    <row r="4" spans="1:24" x14ac:dyDescent="0.3">
      <c r="A4" t="s">
        <v>13</v>
      </c>
      <c r="B4" s="33"/>
      <c r="C4" s="33"/>
      <c r="D4" s="33"/>
      <c r="E4" s="33"/>
      <c r="F4" s="33"/>
      <c r="G4" s="33"/>
      <c r="H4" s="33"/>
      <c r="I4" s="33"/>
    </row>
    <row r="5" spans="1:24" x14ac:dyDescent="0.3">
      <c r="A5" t="s">
        <v>14</v>
      </c>
      <c r="B5" s="33"/>
      <c r="C5" s="33"/>
      <c r="D5" s="33"/>
      <c r="E5" s="33"/>
      <c r="F5" s="33"/>
      <c r="G5" s="33"/>
      <c r="H5" s="33"/>
      <c r="I5" s="33"/>
    </row>
    <row r="6" spans="1:24" x14ac:dyDescent="0.3">
      <c r="A6" t="s">
        <v>43</v>
      </c>
      <c r="B6" s="33"/>
      <c r="C6" s="33"/>
      <c r="D6" s="33"/>
      <c r="E6" s="33"/>
      <c r="F6" s="33"/>
      <c r="G6" s="33"/>
      <c r="H6" s="33"/>
      <c r="I6" s="33"/>
    </row>
    <row r="7" spans="1:24" x14ac:dyDescent="0.3">
      <c r="A7" t="s">
        <v>15</v>
      </c>
      <c r="B7" s="33"/>
      <c r="C7" s="33"/>
      <c r="D7" s="33"/>
      <c r="E7" s="33"/>
      <c r="F7" s="33"/>
      <c r="G7" s="33"/>
      <c r="H7" s="33"/>
      <c r="I7" s="33"/>
    </row>
    <row r="8" spans="1:24" s="4" customFormat="1" x14ac:dyDescent="0.3">
      <c r="A8" s="4" t="s">
        <v>44</v>
      </c>
      <c r="B8" s="34"/>
      <c r="C8" s="35"/>
      <c r="D8" s="35"/>
      <c r="E8" s="35"/>
      <c r="F8" s="35"/>
      <c r="G8" s="35"/>
      <c r="H8" s="35"/>
      <c r="I8" s="36"/>
    </row>
    <row r="9" spans="1:24" s="4" customFormat="1" x14ac:dyDescent="0.3">
      <c r="A9" s="4" t="s">
        <v>15</v>
      </c>
      <c r="B9" s="34"/>
      <c r="C9" s="35"/>
      <c r="D9" s="35"/>
      <c r="E9" s="35"/>
      <c r="F9" s="35"/>
      <c r="G9" s="35"/>
      <c r="H9" s="35"/>
      <c r="I9" s="36"/>
    </row>
    <row r="10" spans="1:24" x14ac:dyDescent="0.3">
      <c r="A10" s="4" t="s">
        <v>39</v>
      </c>
      <c r="B10" s="33"/>
      <c r="C10" s="33"/>
      <c r="D10" s="33"/>
      <c r="E10" s="33"/>
      <c r="F10" s="33"/>
      <c r="G10" s="33"/>
      <c r="H10" s="33"/>
      <c r="I10" s="33"/>
    </row>
    <row r="11" spans="1:24" ht="6" customHeight="1" x14ac:dyDescent="0.3"/>
    <row r="12" spans="1:24" x14ac:dyDescent="0.3">
      <c r="A12" t="s">
        <v>16</v>
      </c>
      <c r="H12" s="15"/>
      <c r="I12" s="15"/>
      <c r="J12" s="15"/>
      <c r="M12"/>
    </row>
    <row r="13" spans="1:24" s="4" customFormat="1" ht="15" thickBot="1" x14ac:dyDescent="0.35">
      <c r="B13" s="19" t="s">
        <v>41</v>
      </c>
      <c r="D13" s="4" t="s">
        <v>42</v>
      </c>
      <c r="F13" s="4" t="s">
        <v>47</v>
      </c>
      <c r="G13" s="5"/>
      <c r="H13" s="15"/>
      <c r="I13" s="15"/>
      <c r="J13" s="15"/>
      <c r="V13" s="30" t="s">
        <v>45</v>
      </c>
      <c r="W13" s="30"/>
      <c r="X13" s="30"/>
    </row>
    <row r="14" spans="1:24" ht="15" thickBot="1" x14ac:dyDescent="0.35">
      <c r="A14" s="3" t="s">
        <v>3</v>
      </c>
      <c r="B14" s="8"/>
      <c r="D14" s="8"/>
      <c r="F14" s="31"/>
      <c r="G14" s="32"/>
      <c r="H14" s="23"/>
      <c r="I14" s="5"/>
      <c r="J14" s="5"/>
      <c r="V14" s="30">
        <f>B14*100000</f>
        <v>0</v>
      </c>
      <c r="W14" s="30"/>
      <c r="X14" s="30">
        <f>D14*3413</f>
        <v>0</v>
      </c>
    </row>
    <row r="15" spans="1:24" ht="15" thickBot="1" x14ac:dyDescent="0.35">
      <c r="A15" s="3" t="s">
        <v>4</v>
      </c>
      <c r="B15" s="8"/>
      <c r="D15" s="8"/>
      <c r="F15" s="4" t="s">
        <v>46</v>
      </c>
      <c r="G15" s="5"/>
      <c r="H15" s="23"/>
      <c r="I15" s="5"/>
      <c r="J15" s="5"/>
      <c r="O15" t="s">
        <v>48</v>
      </c>
      <c r="R15" t="s">
        <v>49</v>
      </c>
      <c r="V15" s="30">
        <f t="shared" ref="V15:V25" si="0">B15*100000</f>
        <v>0</v>
      </c>
      <c r="W15" s="30"/>
      <c r="X15" s="30">
        <f t="shared" ref="X15:X25" si="1">D15*3413</f>
        <v>0</v>
      </c>
    </row>
    <row r="16" spans="1:24" ht="15" thickBot="1" x14ac:dyDescent="0.35">
      <c r="A16" s="3" t="s">
        <v>5</v>
      </c>
      <c r="B16" s="8"/>
      <c r="D16" s="8"/>
      <c r="F16" s="31"/>
      <c r="G16" s="32"/>
      <c r="H16" s="23"/>
      <c r="I16" s="5"/>
      <c r="J16" s="5"/>
      <c r="O16" t="s">
        <v>30</v>
      </c>
      <c r="P16">
        <f>MIN(B14:B25)</f>
        <v>0</v>
      </c>
      <c r="R16" s="4" t="s">
        <v>30</v>
      </c>
      <c r="S16">
        <f>MIN(D14:D25)</f>
        <v>0</v>
      </c>
      <c r="V16" s="30">
        <f t="shared" si="0"/>
        <v>0</v>
      </c>
      <c r="W16" s="30"/>
      <c r="X16" s="30">
        <f t="shared" si="1"/>
        <v>0</v>
      </c>
    </row>
    <row r="17" spans="1:24" ht="15" thickBot="1" x14ac:dyDescent="0.35">
      <c r="A17" s="3" t="s">
        <v>6</v>
      </c>
      <c r="B17" s="8"/>
      <c r="D17" s="8"/>
      <c r="G17" s="5"/>
      <c r="H17" s="23"/>
      <c r="I17" s="5"/>
      <c r="J17" s="5"/>
      <c r="O17" t="s">
        <v>31</v>
      </c>
      <c r="P17" t="e">
        <f>SMALL(B14:B25,2)</f>
        <v>#NUM!</v>
      </c>
      <c r="R17" s="4" t="s">
        <v>31</v>
      </c>
      <c r="S17" s="4" t="e">
        <f>SMALL(D14:D25,2)</f>
        <v>#NUM!</v>
      </c>
      <c r="V17" s="30">
        <f t="shared" si="0"/>
        <v>0</v>
      </c>
      <c r="W17" s="30"/>
      <c r="X17" s="30">
        <f t="shared" si="1"/>
        <v>0</v>
      </c>
    </row>
    <row r="18" spans="1:24" ht="15" thickBot="1" x14ac:dyDescent="0.35">
      <c r="A18" s="3" t="s">
        <v>7</v>
      </c>
      <c r="B18" s="8"/>
      <c r="D18" s="8"/>
      <c r="G18" s="15" t="s">
        <v>150</v>
      </c>
      <c r="H18" s="9"/>
      <c r="I18" s="5"/>
      <c r="J18" s="5"/>
      <c r="O18" t="s">
        <v>32</v>
      </c>
      <c r="P18" t="e">
        <f>SMALL(B14:B25,3)</f>
        <v>#NUM!</v>
      </c>
      <c r="R18" s="4" t="s">
        <v>32</v>
      </c>
      <c r="S18" s="4" t="e">
        <f>SMALL(D14:D25,3)</f>
        <v>#NUM!</v>
      </c>
      <c r="V18" s="30">
        <f t="shared" si="0"/>
        <v>0</v>
      </c>
      <c r="W18" s="30"/>
      <c r="X18" s="30">
        <f t="shared" si="1"/>
        <v>0</v>
      </c>
    </row>
    <row r="19" spans="1:24" ht="15" thickBot="1" x14ac:dyDescent="0.35">
      <c r="A19" s="3" t="s">
        <v>8</v>
      </c>
      <c r="B19" s="8"/>
      <c r="D19" s="8"/>
      <c r="F19" s="14"/>
      <c r="G19" s="14"/>
      <c r="H19" s="10"/>
      <c r="O19" t="s">
        <v>19</v>
      </c>
      <c r="P19" t="e">
        <f>SUM(P16:P18)/3</f>
        <v>#NUM!</v>
      </c>
      <c r="R19" s="4" t="s">
        <v>19</v>
      </c>
      <c r="S19" t="e">
        <f>SUM(S16:S18)/3</f>
        <v>#NUM!</v>
      </c>
      <c r="V19" s="30">
        <f t="shared" si="0"/>
        <v>0</v>
      </c>
      <c r="W19" s="30"/>
      <c r="X19" s="30">
        <f t="shared" si="1"/>
        <v>0</v>
      </c>
    </row>
    <row r="20" spans="1:24" ht="15" thickBot="1" x14ac:dyDescent="0.35">
      <c r="A20" s="3" t="s">
        <v>0</v>
      </c>
      <c r="B20" s="8"/>
      <c r="D20" s="8"/>
      <c r="F20" s="7" t="s">
        <v>21</v>
      </c>
      <c r="G20" s="16" t="e">
        <f>IF($F$16="natural gas",($P$21*100000)/($P$37*R31),(($S$21*3413)/(R31*$P$37))*2)</f>
        <v>#NUM!</v>
      </c>
      <c r="H20" s="11"/>
      <c r="O20" t="s">
        <v>17</v>
      </c>
      <c r="P20" t="e">
        <f>P19*12</f>
        <v>#NUM!</v>
      </c>
      <c r="R20" t="s">
        <v>50</v>
      </c>
      <c r="S20">
        <f>D19+D20+D21+D22</f>
        <v>0</v>
      </c>
      <c r="V20" s="30">
        <f t="shared" si="0"/>
        <v>0</v>
      </c>
      <c r="W20" s="30"/>
      <c r="X20" s="30">
        <f t="shared" si="1"/>
        <v>0</v>
      </c>
    </row>
    <row r="21" spans="1:24" ht="15" customHeight="1" thickBot="1" x14ac:dyDescent="0.35">
      <c r="A21" s="3" t="s">
        <v>1</v>
      </c>
      <c r="B21" s="8"/>
      <c r="D21" s="8"/>
      <c r="F21" s="7" t="s">
        <v>22</v>
      </c>
      <c r="G21" s="16" t="e">
        <f t="shared" ref="G21:G27" si="2">IF($F$16="natural gas",($P$21*100000)/($P$37*R32),(($S$21*3413)/(R32*$P$37))*2)</f>
        <v>#NUM!</v>
      </c>
      <c r="H21" s="4"/>
      <c r="O21" t="s">
        <v>33</v>
      </c>
      <c r="P21" t="e">
        <f>B26-P20</f>
        <v>#NUM!</v>
      </c>
      <c r="R21" t="s">
        <v>33</v>
      </c>
      <c r="S21" t="e">
        <f>S20-(S19*4)</f>
        <v>#NUM!</v>
      </c>
      <c r="V21" s="30">
        <f t="shared" si="0"/>
        <v>0</v>
      </c>
      <c r="W21" s="30"/>
      <c r="X21" s="30">
        <f t="shared" si="1"/>
        <v>0</v>
      </c>
    </row>
    <row r="22" spans="1:24" ht="15" thickBot="1" x14ac:dyDescent="0.35">
      <c r="A22" s="3" t="s">
        <v>2</v>
      </c>
      <c r="B22" s="8"/>
      <c r="D22" s="8"/>
      <c r="F22" s="7" t="s">
        <v>23</v>
      </c>
      <c r="G22" s="16" t="e">
        <f t="shared" si="2"/>
        <v>#NUM!</v>
      </c>
      <c r="H22" s="5"/>
      <c r="I22" s="15"/>
      <c r="J22" s="15"/>
      <c r="V22" s="30">
        <f t="shared" si="0"/>
        <v>0</v>
      </c>
      <c r="W22" s="30"/>
      <c r="X22" s="30">
        <f t="shared" si="1"/>
        <v>0</v>
      </c>
    </row>
    <row r="23" spans="1:24" ht="15" thickBot="1" x14ac:dyDescent="0.35">
      <c r="A23" s="3" t="s">
        <v>9</v>
      </c>
      <c r="B23" s="8"/>
      <c r="D23" s="8"/>
      <c r="F23" s="7" t="s">
        <v>24</v>
      </c>
      <c r="G23" s="16" t="e">
        <f t="shared" si="2"/>
        <v>#NUM!</v>
      </c>
      <c r="H23" s="5"/>
      <c r="I23" s="6"/>
      <c r="J23" s="21"/>
      <c r="V23" s="30">
        <f t="shared" si="0"/>
        <v>0</v>
      </c>
      <c r="W23" s="30"/>
      <c r="X23" s="30">
        <f t="shared" si="1"/>
        <v>0</v>
      </c>
    </row>
    <row r="24" spans="1:24" ht="15" thickBot="1" x14ac:dyDescent="0.35">
      <c r="A24" s="3" t="s">
        <v>10</v>
      </c>
      <c r="B24" s="8"/>
      <c r="D24" s="8"/>
      <c r="F24" s="7" t="s">
        <v>25</v>
      </c>
      <c r="G24" s="16" t="e">
        <f t="shared" si="2"/>
        <v>#NUM!</v>
      </c>
      <c r="H24" s="5"/>
      <c r="I24" s="6"/>
      <c r="J24" s="21"/>
      <c r="O24" t="s">
        <v>20</v>
      </c>
      <c r="V24" s="30">
        <f t="shared" si="0"/>
        <v>0</v>
      </c>
      <c r="W24" s="30"/>
      <c r="X24" s="30">
        <f t="shared" si="1"/>
        <v>0</v>
      </c>
    </row>
    <row r="25" spans="1:24" ht="15" thickBot="1" x14ac:dyDescent="0.35">
      <c r="A25" s="3" t="s">
        <v>11</v>
      </c>
      <c r="B25" s="8"/>
      <c r="D25" s="8"/>
      <c r="F25" s="7" t="s">
        <v>26</v>
      </c>
      <c r="G25" s="16" t="e">
        <f t="shared" si="2"/>
        <v>#NUM!</v>
      </c>
      <c r="H25" s="5"/>
      <c r="I25" s="22"/>
      <c r="J25" s="21"/>
      <c r="O25" t="s">
        <v>34</v>
      </c>
      <c r="P25" t="e">
        <f>LARGE(B14:B25,3)</f>
        <v>#NUM!</v>
      </c>
      <c r="V25" s="30">
        <f t="shared" si="0"/>
        <v>0</v>
      </c>
      <c r="W25" s="30"/>
      <c r="X25" s="30">
        <f t="shared" si="1"/>
        <v>0</v>
      </c>
    </row>
    <row r="26" spans="1:24" x14ac:dyDescent="0.3">
      <c r="A26" s="1" t="s">
        <v>17</v>
      </c>
      <c r="B26" s="29">
        <f>SUM(B14:B25)</f>
        <v>0</v>
      </c>
      <c r="D26" s="28">
        <f>SUM(D14:D25)</f>
        <v>0</v>
      </c>
      <c r="F26" s="7" t="s">
        <v>27</v>
      </c>
      <c r="G26" s="16" t="e">
        <f t="shared" si="2"/>
        <v>#NUM!</v>
      </c>
      <c r="H26" s="5"/>
      <c r="I26" s="22"/>
      <c r="J26" s="21"/>
      <c r="O26" t="s">
        <v>35</v>
      </c>
      <c r="P26" t="e">
        <f>LARGE(B14:B25,4)</f>
        <v>#NUM!</v>
      </c>
      <c r="V26" s="30"/>
      <c r="W26" s="30"/>
      <c r="X26" s="30"/>
    </row>
    <row r="27" spans="1:24" ht="15" customHeight="1" x14ac:dyDescent="0.3">
      <c r="A27" s="12" t="s">
        <v>18</v>
      </c>
      <c r="B27" s="27"/>
      <c r="F27" s="7" t="s">
        <v>28</v>
      </c>
      <c r="G27" s="16" t="e">
        <f t="shared" si="2"/>
        <v>#NUM!</v>
      </c>
      <c r="H27" s="20"/>
      <c r="I27" s="22"/>
      <c r="J27" s="21"/>
      <c r="O27" t="s">
        <v>36</v>
      </c>
      <c r="P27" t="e">
        <f>LARGE(B14:B25,5)</f>
        <v>#NUM!</v>
      </c>
      <c r="V27" s="30" t="s">
        <v>40</v>
      </c>
      <c r="W27" s="30"/>
      <c r="X27" s="30"/>
    </row>
    <row r="28" spans="1:24" ht="21" x14ac:dyDescent="0.4">
      <c r="A28" s="13" t="s">
        <v>29</v>
      </c>
      <c r="B28" s="18" t="str">
        <f>IF(F16="natural gas",(P21*100000)/(P37*B27),".")</f>
        <v>.</v>
      </c>
      <c r="D28" s="24" t="str">
        <f>IF(F16="electricity",((S21*3413)/(B27*P37))*2,".")</f>
        <v>.</v>
      </c>
      <c r="F28" s="5"/>
      <c r="G28" s="5"/>
      <c r="H28" s="5"/>
      <c r="I28" s="5"/>
      <c r="J28" s="6"/>
      <c r="O28" t="s">
        <v>19</v>
      </c>
      <c r="P28" t="e">
        <f>AVERAGE(P25:P27)</f>
        <v>#NUM!</v>
      </c>
      <c r="V28" s="30" t="s">
        <v>42</v>
      </c>
      <c r="W28" s="30"/>
      <c r="X28" s="30"/>
    </row>
    <row r="29" spans="1:24" ht="6" customHeight="1" x14ac:dyDescent="0.3">
      <c r="V29" s="30"/>
      <c r="W29" s="30"/>
      <c r="X29" s="30"/>
    </row>
    <row r="31" spans="1:24" x14ac:dyDescent="0.3">
      <c r="R31">
        <v>600</v>
      </c>
    </row>
    <row r="32" spans="1:24" x14ac:dyDescent="0.3">
      <c r="R32">
        <v>700</v>
      </c>
    </row>
    <row r="33" spans="15:19" x14ac:dyDescent="0.3">
      <c r="R33">
        <v>800</v>
      </c>
    </row>
    <row r="34" spans="15:19" x14ac:dyDescent="0.3">
      <c r="R34">
        <v>1000</v>
      </c>
    </row>
    <row r="35" spans="15:19" x14ac:dyDescent="0.3">
      <c r="R35">
        <v>1200</v>
      </c>
    </row>
    <row r="36" spans="15:19" x14ac:dyDescent="0.3">
      <c r="R36">
        <v>1500</v>
      </c>
    </row>
    <row r="37" spans="15:19" x14ac:dyDescent="0.3">
      <c r="O37" t="s">
        <v>38</v>
      </c>
      <c r="P37" t="e">
        <f>VLOOKUP(F14,O40:Q131,3,FALSE)</f>
        <v>#N/A</v>
      </c>
      <c r="R37">
        <v>2000</v>
      </c>
    </row>
    <row r="38" spans="15:19" x14ac:dyDescent="0.3">
      <c r="R38">
        <v>2500</v>
      </c>
    </row>
    <row r="40" spans="15:19" x14ac:dyDescent="0.3">
      <c r="O40" s="25" t="s">
        <v>51</v>
      </c>
      <c r="P40" s="25" t="s">
        <v>52</v>
      </c>
      <c r="Q40">
        <f>VLOOKUP(P40,$R$40:$S$45,2,FALSE)</f>
        <v>5396.5249999999996</v>
      </c>
      <c r="R40" s="25" t="s">
        <v>93</v>
      </c>
      <c r="S40" s="26">
        <f>365*17.576</f>
        <v>6415.24</v>
      </c>
    </row>
    <row r="41" spans="15:19" x14ac:dyDescent="0.3">
      <c r="O41" s="25" t="s">
        <v>53</v>
      </c>
      <c r="P41" s="25" t="s">
        <v>52</v>
      </c>
      <c r="Q41" s="4">
        <f t="shared" ref="Q41:Q104" si="3">VLOOKUP(P41,$R$40:$S$45,2,FALSE)</f>
        <v>5396.5249999999996</v>
      </c>
      <c r="R41" s="25" t="s">
        <v>64</v>
      </c>
      <c r="S41" s="26">
        <f>365*16.921</f>
        <v>6176.165</v>
      </c>
    </row>
    <row r="42" spans="15:19" x14ac:dyDescent="0.3">
      <c r="O42" s="25" t="s">
        <v>54</v>
      </c>
      <c r="P42" s="25" t="s">
        <v>55</v>
      </c>
      <c r="Q42" s="4">
        <f t="shared" si="3"/>
        <v>5070.58</v>
      </c>
      <c r="R42" s="25" t="s">
        <v>68</v>
      </c>
      <c r="S42" s="26">
        <f>365*16.556</f>
        <v>6042.9400000000005</v>
      </c>
    </row>
    <row r="43" spans="15:19" x14ac:dyDescent="0.3">
      <c r="O43" s="25" t="s">
        <v>56</v>
      </c>
      <c r="P43" s="25" t="s">
        <v>55</v>
      </c>
      <c r="Q43" s="4">
        <f t="shared" si="3"/>
        <v>5070.58</v>
      </c>
      <c r="R43" s="25" t="s">
        <v>52</v>
      </c>
      <c r="S43" s="26">
        <f>365*14.785</f>
        <v>5396.5249999999996</v>
      </c>
    </row>
    <row r="44" spans="15:19" x14ac:dyDescent="0.3">
      <c r="O44" s="25" t="s">
        <v>57</v>
      </c>
      <c r="P44" s="25" t="s">
        <v>52</v>
      </c>
      <c r="Q44" s="4">
        <f t="shared" si="3"/>
        <v>5396.5249999999996</v>
      </c>
      <c r="R44" s="25" t="s">
        <v>55</v>
      </c>
      <c r="S44" s="26">
        <f>365*13.892</f>
        <v>5070.58</v>
      </c>
    </row>
    <row r="45" spans="15:19" x14ac:dyDescent="0.3">
      <c r="O45" s="25" t="s">
        <v>58</v>
      </c>
      <c r="P45" s="25" t="s">
        <v>55</v>
      </c>
      <c r="Q45" s="4">
        <f t="shared" si="3"/>
        <v>5070.58</v>
      </c>
      <c r="R45" s="25" t="s">
        <v>61</v>
      </c>
      <c r="S45" s="26">
        <f>365*12.306</f>
        <v>4491.6899999999996</v>
      </c>
    </row>
    <row r="46" spans="15:19" x14ac:dyDescent="0.3">
      <c r="O46" s="25" t="s">
        <v>59</v>
      </c>
      <c r="P46" s="25" t="s">
        <v>55</v>
      </c>
      <c r="Q46" s="4">
        <f t="shared" si="3"/>
        <v>5070.58</v>
      </c>
    </row>
    <row r="47" spans="15:19" x14ac:dyDescent="0.3">
      <c r="O47" s="25" t="s">
        <v>60</v>
      </c>
      <c r="P47" s="25" t="s">
        <v>61</v>
      </c>
      <c r="Q47" s="4">
        <f t="shared" si="3"/>
        <v>4491.6899999999996</v>
      </c>
    </row>
    <row r="48" spans="15:19" x14ac:dyDescent="0.3">
      <c r="O48" s="25" t="s">
        <v>62</v>
      </c>
      <c r="P48" s="25" t="s">
        <v>61</v>
      </c>
      <c r="Q48" s="4">
        <f t="shared" si="3"/>
        <v>4491.6899999999996</v>
      </c>
    </row>
    <row r="49" spans="15:17" x14ac:dyDescent="0.3">
      <c r="O49" s="25" t="s">
        <v>63</v>
      </c>
      <c r="P49" s="25" t="s">
        <v>64</v>
      </c>
      <c r="Q49" s="4">
        <f t="shared" si="3"/>
        <v>6176.165</v>
      </c>
    </row>
    <row r="50" spans="15:17" x14ac:dyDescent="0.3">
      <c r="O50" s="25" t="s">
        <v>65</v>
      </c>
      <c r="P50" s="25" t="s">
        <v>55</v>
      </c>
      <c r="Q50" s="4">
        <f t="shared" si="3"/>
        <v>5070.58</v>
      </c>
    </row>
    <row r="51" spans="15:17" x14ac:dyDescent="0.3">
      <c r="O51" s="25" t="s">
        <v>66</v>
      </c>
      <c r="P51" s="25" t="s">
        <v>61</v>
      </c>
      <c r="Q51" s="4">
        <f t="shared" si="3"/>
        <v>4491.6899999999996</v>
      </c>
    </row>
    <row r="52" spans="15:17" x14ac:dyDescent="0.3">
      <c r="O52" s="25" t="s">
        <v>67</v>
      </c>
      <c r="P52" s="25" t="s">
        <v>68</v>
      </c>
      <c r="Q52" s="4">
        <f t="shared" si="3"/>
        <v>6042.9400000000005</v>
      </c>
    </row>
    <row r="53" spans="15:17" x14ac:dyDescent="0.3">
      <c r="O53" s="25" t="s">
        <v>69</v>
      </c>
      <c r="P53" s="25" t="s">
        <v>68</v>
      </c>
      <c r="Q53" s="4">
        <f t="shared" si="3"/>
        <v>6042.9400000000005</v>
      </c>
    </row>
    <row r="54" spans="15:17" x14ac:dyDescent="0.3">
      <c r="O54" s="25" t="s">
        <v>70</v>
      </c>
      <c r="P54" s="25" t="s">
        <v>64</v>
      </c>
      <c r="Q54" s="4">
        <f t="shared" si="3"/>
        <v>6176.165</v>
      </c>
    </row>
    <row r="55" spans="15:17" x14ac:dyDescent="0.3">
      <c r="O55" s="25" t="s">
        <v>71</v>
      </c>
      <c r="P55" s="25" t="s">
        <v>55</v>
      </c>
      <c r="Q55" s="4">
        <f t="shared" si="3"/>
        <v>5070.58</v>
      </c>
    </row>
    <row r="56" spans="15:17" x14ac:dyDescent="0.3">
      <c r="O56" s="25" t="s">
        <v>72</v>
      </c>
      <c r="P56" s="25" t="s">
        <v>52</v>
      </c>
      <c r="Q56" s="4">
        <f t="shared" si="3"/>
        <v>5396.5249999999996</v>
      </c>
    </row>
    <row r="57" spans="15:17" x14ac:dyDescent="0.3">
      <c r="O57" s="25" t="s">
        <v>73</v>
      </c>
      <c r="P57" s="25" t="s">
        <v>55</v>
      </c>
      <c r="Q57" s="4">
        <f t="shared" si="3"/>
        <v>5070.58</v>
      </c>
    </row>
    <row r="58" spans="15:17" x14ac:dyDescent="0.3">
      <c r="O58" s="25" t="s">
        <v>74</v>
      </c>
      <c r="P58" s="25" t="s">
        <v>68</v>
      </c>
      <c r="Q58" s="4">
        <f t="shared" si="3"/>
        <v>6042.9400000000005</v>
      </c>
    </row>
    <row r="59" spans="15:17" x14ac:dyDescent="0.3">
      <c r="O59" s="25" t="s">
        <v>75</v>
      </c>
      <c r="P59" s="25" t="s">
        <v>61</v>
      </c>
      <c r="Q59" s="4">
        <f t="shared" si="3"/>
        <v>4491.6899999999996</v>
      </c>
    </row>
    <row r="60" spans="15:17" x14ac:dyDescent="0.3">
      <c r="O60" s="25" t="s">
        <v>76</v>
      </c>
      <c r="P60" s="25" t="s">
        <v>55</v>
      </c>
      <c r="Q60" s="4">
        <f t="shared" si="3"/>
        <v>5070.58</v>
      </c>
    </row>
    <row r="61" spans="15:17" x14ac:dyDescent="0.3">
      <c r="O61" s="25" t="s">
        <v>77</v>
      </c>
      <c r="P61" s="25" t="s">
        <v>64</v>
      </c>
      <c r="Q61" s="4">
        <f t="shared" si="3"/>
        <v>6176.165</v>
      </c>
    </row>
    <row r="62" spans="15:17" x14ac:dyDescent="0.3">
      <c r="O62" s="25" t="s">
        <v>78</v>
      </c>
      <c r="P62" s="25" t="s">
        <v>55</v>
      </c>
      <c r="Q62" s="4">
        <f t="shared" si="3"/>
        <v>5070.58</v>
      </c>
    </row>
    <row r="63" spans="15:17" x14ac:dyDescent="0.3">
      <c r="O63" s="25" t="s">
        <v>79</v>
      </c>
      <c r="P63" s="25" t="s">
        <v>64</v>
      </c>
      <c r="Q63" s="4">
        <f t="shared" si="3"/>
        <v>6176.165</v>
      </c>
    </row>
    <row r="64" spans="15:17" x14ac:dyDescent="0.3">
      <c r="O64" s="25" t="s">
        <v>80</v>
      </c>
      <c r="P64" s="25" t="s">
        <v>61</v>
      </c>
      <c r="Q64" s="4">
        <f t="shared" si="3"/>
        <v>4491.6899999999996</v>
      </c>
    </row>
    <row r="65" spans="15:17" x14ac:dyDescent="0.3">
      <c r="O65" s="25" t="s">
        <v>81</v>
      </c>
      <c r="P65" s="25" t="s">
        <v>68</v>
      </c>
      <c r="Q65" s="4">
        <f t="shared" si="3"/>
        <v>6042.9400000000005</v>
      </c>
    </row>
    <row r="66" spans="15:17" x14ac:dyDescent="0.3">
      <c r="O66" s="25" t="s">
        <v>82</v>
      </c>
      <c r="P66" s="25" t="s">
        <v>55</v>
      </c>
      <c r="Q66" s="4">
        <f t="shared" si="3"/>
        <v>5070.58</v>
      </c>
    </row>
    <row r="67" spans="15:17" x14ac:dyDescent="0.3">
      <c r="O67" s="25" t="s">
        <v>83</v>
      </c>
      <c r="P67" s="25" t="s">
        <v>68</v>
      </c>
      <c r="Q67" s="4">
        <f t="shared" si="3"/>
        <v>6042.9400000000005</v>
      </c>
    </row>
    <row r="68" spans="15:17" x14ac:dyDescent="0.3">
      <c r="O68" s="25" t="s">
        <v>84</v>
      </c>
      <c r="P68" s="25" t="s">
        <v>55</v>
      </c>
      <c r="Q68" s="4">
        <f t="shared" si="3"/>
        <v>5070.58</v>
      </c>
    </row>
    <row r="69" spans="15:17" x14ac:dyDescent="0.3">
      <c r="O69" s="25" t="s">
        <v>85</v>
      </c>
      <c r="P69" s="25" t="s">
        <v>55</v>
      </c>
      <c r="Q69" s="4">
        <f t="shared" si="3"/>
        <v>5070.58</v>
      </c>
    </row>
    <row r="70" spans="15:17" x14ac:dyDescent="0.3">
      <c r="O70" s="25" t="s">
        <v>86</v>
      </c>
      <c r="P70" s="25" t="s">
        <v>64</v>
      </c>
      <c r="Q70" s="4">
        <f t="shared" si="3"/>
        <v>6176.165</v>
      </c>
    </row>
    <row r="71" spans="15:17" x14ac:dyDescent="0.3">
      <c r="O71" s="25" t="s">
        <v>87</v>
      </c>
      <c r="P71" s="25" t="s">
        <v>55</v>
      </c>
      <c r="Q71" s="4">
        <f t="shared" si="3"/>
        <v>5070.58</v>
      </c>
    </row>
    <row r="72" spans="15:17" x14ac:dyDescent="0.3">
      <c r="O72" s="25" t="s">
        <v>88</v>
      </c>
      <c r="P72" s="25" t="s">
        <v>55</v>
      </c>
      <c r="Q72" s="4">
        <f t="shared" si="3"/>
        <v>5070.58</v>
      </c>
    </row>
    <row r="73" spans="15:17" x14ac:dyDescent="0.3">
      <c r="O73" s="25" t="s">
        <v>89</v>
      </c>
      <c r="P73" s="25" t="s">
        <v>61</v>
      </c>
      <c r="Q73" s="4">
        <f t="shared" si="3"/>
        <v>4491.6899999999996</v>
      </c>
    </row>
    <row r="74" spans="15:17" x14ac:dyDescent="0.3">
      <c r="O74" s="25" t="s">
        <v>90</v>
      </c>
      <c r="P74" s="25" t="s">
        <v>52</v>
      </c>
      <c r="Q74" s="4">
        <f t="shared" si="3"/>
        <v>5396.5249999999996</v>
      </c>
    </row>
    <row r="75" spans="15:17" x14ac:dyDescent="0.3">
      <c r="O75" s="25" t="s">
        <v>91</v>
      </c>
      <c r="P75" s="25" t="s">
        <v>55</v>
      </c>
      <c r="Q75" s="4">
        <f t="shared" si="3"/>
        <v>5070.58</v>
      </c>
    </row>
    <row r="76" spans="15:17" x14ac:dyDescent="0.3">
      <c r="O76" s="25" t="s">
        <v>92</v>
      </c>
      <c r="P76" s="25" t="s">
        <v>93</v>
      </c>
      <c r="Q76" s="4">
        <f t="shared" si="3"/>
        <v>6415.24</v>
      </c>
    </row>
    <row r="77" spans="15:17" x14ac:dyDescent="0.3">
      <c r="O77" s="25" t="s">
        <v>94</v>
      </c>
      <c r="P77" s="25" t="s">
        <v>52</v>
      </c>
      <c r="Q77" s="4">
        <f t="shared" si="3"/>
        <v>5396.5249999999996</v>
      </c>
    </row>
    <row r="78" spans="15:17" x14ac:dyDescent="0.3">
      <c r="O78" s="25" t="s">
        <v>95</v>
      </c>
      <c r="P78" s="25" t="s">
        <v>64</v>
      </c>
      <c r="Q78" s="4">
        <f t="shared" si="3"/>
        <v>6176.165</v>
      </c>
    </row>
    <row r="79" spans="15:17" x14ac:dyDescent="0.3">
      <c r="O79" s="25" t="s">
        <v>96</v>
      </c>
      <c r="P79" s="25" t="s">
        <v>64</v>
      </c>
      <c r="Q79" s="4">
        <f t="shared" si="3"/>
        <v>6176.165</v>
      </c>
    </row>
    <row r="80" spans="15:17" x14ac:dyDescent="0.3">
      <c r="O80" s="25" t="s">
        <v>97</v>
      </c>
      <c r="P80" s="25" t="s">
        <v>55</v>
      </c>
      <c r="Q80" s="4">
        <f t="shared" si="3"/>
        <v>5070.58</v>
      </c>
    </row>
    <row r="81" spans="15:17" x14ac:dyDescent="0.3">
      <c r="O81" s="25" t="s">
        <v>98</v>
      </c>
      <c r="P81" s="25" t="s">
        <v>68</v>
      </c>
      <c r="Q81" s="4">
        <f t="shared" si="3"/>
        <v>6042.9400000000005</v>
      </c>
    </row>
    <row r="82" spans="15:17" x14ac:dyDescent="0.3">
      <c r="O82" s="25" t="s">
        <v>99</v>
      </c>
      <c r="P82" s="25" t="s">
        <v>61</v>
      </c>
      <c r="Q82" s="4">
        <f t="shared" si="3"/>
        <v>4491.6899999999996</v>
      </c>
    </row>
    <row r="83" spans="15:17" x14ac:dyDescent="0.3">
      <c r="O83" s="25" t="s">
        <v>100</v>
      </c>
      <c r="P83" s="25" t="s">
        <v>52</v>
      </c>
      <c r="Q83" s="4">
        <f t="shared" si="3"/>
        <v>5396.5249999999996</v>
      </c>
    </row>
    <row r="84" spans="15:17" x14ac:dyDescent="0.3">
      <c r="O84" s="25" t="s">
        <v>101</v>
      </c>
      <c r="P84" s="25" t="s">
        <v>93</v>
      </c>
      <c r="Q84" s="4">
        <f t="shared" si="3"/>
        <v>6415.24</v>
      </c>
    </row>
    <row r="85" spans="15:17" x14ac:dyDescent="0.3">
      <c r="O85" s="25" t="s">
        <v>102</v>
      </c>
      <c r="P85" s="25" t="s">
        <v>93</v>
      </c>
      <c r="Q85" s="4">
        <f t="shared" si="3"/>
        <v>6415.24</v>
      </c>
    </row>
    <row r="86" spans="15:17" x14ac:dyDescent="0.3">
      <c r="O86" s="25" t="s">
        <v>103</v>
      </c>
      <c r="P86" s="25" t="s">
        <v>68</v>
      </c>
      <c r="Q86" s="4">
        <f t="shared" si="3"/>
        <v>6042.9400000000005</v>
      </c>
    </row>
    <row r="87" spans="15:17" x14ac:dyDescent="0.3">
      <c r="O87" s="25" t="s">
        <v>104</v>
      </c>
      <c r="P87" s="25" t="s">
        <v>55</v>
      </c>
      <c r="Q87" s="4">
        <f t="shared" si="3"/>
        <v>5070.58</v>
      </c>
    </row>
    <row r="88" spans="15:17" x14ac:dyDescent="0.3">
      <c r="O88" s="25" t="s">
        <v>105</v>
      </c>
      <c r="P88" s="25" t="s">
        <v>55</v>
      </c>
      <c r="Q88" s="4">
        <f t="shared" si="3"/>
        <v>5070.58</v>
      </c>
    </row>
    <row r="89" spans="15:17" x14ac:dyDescent="0.3">
      <c r="O89" s="25" t="s">
        <v>106</v>
      </c>
      <c r="P89" s="25" t="s">
        <v>61</v>
      </c>
      <c r="Q89" s="4">
        <f t="shared" si="3"/>
        <v>4491.6899999999996</v>
      </c>
    </row>
    <row r="90" spans="15:17" x14ac:dyDescent="0.3">
      <c r="O90" s="25" t="s">
        <v>107</v>
      </c>
      <c r="P90" s="25" t="s">
        <v>68</v>
      </c>
      <c r="Q90" s="4">
        <f t="shared" si="3"/>
        <v>6042.9400000000005</v>
      </c>
    </row>
    <row r="91" spans="15:17" x14ac:dyDescent="0.3">
      <c r="O91" s="25" t="s">
        <v>108</v>
      </c>
      <c r="P91" s="25" t="s">
        <v>61</v>
      </c>
      <c r="Q91" s="4">
        <f t="shared" si="3"/>
        <v>4491.6899999999996</v>
      </c>
    </row>
    <row r="92" spans="15:17" x14ac:dyDescent="0.3">
      <c r="O92" s="25" t="s">
        <v>109</v>
      </c>
      <c r="P92" s="25" t="s">
        <v>55</v>
      </c>
      <c r="Q92" s="4">
        <f t="shared" si="3"/>
        <v>5070.58</v>
      </c>
    </row>
    <row r="93" spans="15:17" x14ac:dyDescent="0.3">
      <c r="O93" s="25" t="s">
        <v>110</v>
      </c>
      <c r="P93" s="25" t="s">
        <v>55</v>
      </c>
      <c r="Q93" s="4">
        <f t="shared" si="3"/>
        <v>5070.58</v>
      </c>
    </row>
    <row r="94" spans="15:17" x14ac:dyDescent="0.3">
      <c r="O94" s="25" t="s">
        <v>111</v>
      </c>
      <c r="P94" s="25" t="s">
        <v>55</v>
      </c>
      <c r="Q94" s="4">
        <f t="shared" si="3"/>
        <v>5070.58</v>
      </c>
    </row>
    <row r="95" spans="15:17" x14ac:dyDescent="0.3">
      <c r="O95" s="25" t="s">
        <v>112</v>
      </c>
      <c r="P95" s="25" t="s">
        <v>93</v>
      </c>
      <c r="Q95" s="4">
        <f t="shared" si="3"/>
        <v>6415.24</v>
      </c>
    </row>
    <row r="96" spans="15:17" x14ac:dyDescent="0.3">
      <c r="O96" s="25" t="s">
        <v>113</v>
      </c>
      <c r="P96" s="25" t="s">
        <v>52</v>
      </c>
      <c r="Q96" s="4">
        <f t="shared" si="3"/>
        <v>5396.5249999999996</v>
      </c>
    </row>
    <row r="97" spans="15:17" x14ac:dyDescent="0.3">
      <c r="O97" s="25" t="s">
        <v>114</v>
      </c>
      <c r="P97" s="25" t="s">
        <v>64</v>
      </c>
      <c r="Q97" s="4">
        <f t="shared" si="3"/>
        <v>6176.165</v>
      </c>
    </row>
    <row r="98" spans="15:17" x14ac:dyDescent="0.3">
      <c r="O98" s="25" t="s">
        <v>115</v>
      </c>
      <c r="P98" s="25" t="s">
        <v>68</v>
      </c>
      <c r="Q98" s="4">
        <f t="shared" si="3"/>
        <v>6042.9400000000005</v>
      </c>
    </row>
    <row r="99" spans="15:17" x14ac:dyDescent="0.3">
      <c r="O99" s="25" t="s">
        <v>116</v>
      </c>
      <c r="P99" s="25" t="s">
        <v>55</v>
      </c>
      <c r="Q99" s="4">
        <f t="shared" si="3"/>
        <v>5070.58</v>
      </c>
    </row>
    <row r="100" spans="15:17" x14ac:dyDescent="0.3">
      <c r="O100" s="25" t="s">
        <v>117</v>
      </c>
      <c r="P100" s="25" t="s">
        <v>55</v>
      </c>
      <c r="Q100" s="4">
        <f t="shared" si="3"/>
        <v>5070.58</v>
      </c>
    </row>
    <row r="101" spans="15:17" x14ac:dyDescent="0.3">
      <c r="O101" s="25" t="s">
        <v>118</v>
      </c>
      <c r="P101" s="25" t="s">
        <v>68</v>
      </c>
      <c r="Q101" s="4">
        <f t="shared" si="3"/>
        <v>6042.9400000000005</v>
      </c>
    </row>
    <row r="102" spans="15:17" x14ac:dyDescent="0.3">
      <c r="O102" s="25" t="s">
        <v>119</v>
      </c>
      <c r="P102" s="25" t="s">
        <v>68</v>
      </c>
      <c r="Q102" s="4">
        <f t="shared" si="3"/>
        <v>6042.9400000000005</v>
      </c>
    </row>
    <row r="103" spans="15:17" x14ac:dyDescent="0.3">
      <c r="O103" s="25" t="s">
        <v>120</v>
      </c>
      <c r="P103" s="25" t="s">
        <v>93</v>
      </c>
      <c r="Q103" s="4">
        <f t="shared" si="3"/>
        <v>6415.24</v>
      </c>
    </row>
    <row r="104" spans="15:17" x14ac:dyDescent="0.3">
      <c r="O104" s="25" t="s">
        <v>121</v>
      </c>
      <c r="P104" s="25" t="s">
        <v>68</v>
      </c>
      <c r="Q104" s="4">
        <f t="shared" si="3"/>
        <v>6042.9400000000005</v>
      </c>
    </row>
    <row r="105" spans="15:17" x14ac:dyDescent="0.3">
      <c r="O105" s="25" t="s">
        <v>122</v>
      </c>
      <c r="P105" s="25" t="s">
        <v>93</v>
      </c>
      <c r="Q105" s="4">
        <f t="shared" ref="Q105:Q131" si="4">VLOOKUP(P105,$R$40:$S$45,2,FALSE)</f>
        <v>6415.24</v>
      </c>
    </row>
    <row r="106" spans="15:17" x14ac:dyDescent="0.3">
      <c r="O106" s="25" t="s">
        <v>123</v>
      </c>
      <c r="P106" s="25" t="s">
        <v>55</v>
      </c>
      <c r="Q106" s="4">
        <f t="shared" si="4"/>
        <v>5070.58</v>
      </c>
    </row>
    <row r="107" spans="15:17" x14ac:dyDescent="0.3">
      <c r="O107" s="25" t="s">
        <v>124</v>
      </c>
      <c r="P107" s="25" t="s">
        <v>52</v>
      </c>
      <c r="Q107" s="4">
        <f t="shared" si="4"/>
        <v>5396.5249999999996</v>
      </c>
    </row>
    <row r="108" spans="15:17" x14ac:dyDescent="0.3">
      <c r="O108" s="25" t="s">
        <v>125</v>
      </c>
      <c r="P108" s="25" t="s">
        <v>64</v>
      </c>
      <c r="Q108" s="4">
        <f t="shared" si="4"/>
        <v>6176.165</v>
      </c>
    </row>
    <row r="109" spans="15:17" x14ac:dyDescent="0.3">
      <c r="O109" s="25" t="s">
        <v>126</v>
      </c>
      <c r="P109" s="25" t="s">
        <v>55</v>
      </c>
      <c r="Q109" s="4">
        <f t="shared" si="4"/>
        <v>5070.58</v>
      </c>
    </row>
    <row r="110" spans="15:17" x14ac:dyDescent="0.3">
      <c r="O110" s="25" t="s">
        <v>127</v>
      </c>
      <c r="P110" s="25" t="s">
        <v>64</v>
      </c>
      <c r="Q110" s="4">
        <f t="shared" si="4"/>
        <v>6176.165</v>
      </c>
    </row>
    <row r="111" spans="15:17" x14ac:dyDescent="0.3">
      <c r="O111" s="25" t="s">
        <v>128</v>
      </c>
      <c r="P111" s="25" t="s">
        <v>55</v>
      </c>
      <c r="Q111" s="4">
        <f t="shared" si="4"/>
        <v>5070.58</v>
      </c>
    </row>
    <row r="112" spans="15:17" x14ac:dyDescent="0.3">
      <c r="O112" s="25" t="s">
        <v>129</v>
      </c>
      <c r="P112" s="25" t="s">
        <v>68</v>
      </c>
      <c r="Q112" s="4">
        <f t="shared" si="4"/>
        <v>6042.9400000000005</v>
      </c>
    </row>
    <row r="113" spans="15:17" x14ac:dyDescent="0.3">
      <c r="O113" s="25" t="s">
        <v>130</v>
      </c>
      <c r="P113" s="25" t="s">
        <v>61</v>
      </c>
      <c r="Q113" s="4">
        <f t="shared" si="4"/>
        <v>4491.6899999999996</v>
      </c>
    </row>
    <row r="114" spans="15:17" x14ac:dyDescent="0.3">
      <c r="O114" s="25" t="s">
        <v>131</v>
      </c>
      <c r="P114" s="25" t="s">
        <v>93</v>
      </c>
      <c r="Q114" s="4">
        <f t="shared" si="4"/>
        <v>6415.24</v>
      </c>
    </row>
    <row r="115" spans="15:17" x14ac:dyDescent="0.3">
      <c r="O115" s="25" t="s">
        <v>132</v>
      </c>
      <c r="P115" s="25" t="s">
        <v>52</v>
      </c>
      <c r="Q115" s="4">
        <f t="shared" si="4"/>
        <v>5396.5249999999996</v>
      </c>
    </row>
    <row r="116" spans="15:17" x14ac:dyDescent="0.3">
      <c r="O116" s="25" t="s">
        <v>133</v>
      </c>
      <c r="P116" s="25" t="s">
        <v>68</v>
      </c>
      <c r="Q116" s="4">
        <f t="shared" si="4"/>
        <v>6042.9400000000005</v>
      </c>
    </row>
    <row r="117" spans="15:17" x14ac:dyDescent="0.3">
      <c r="O117" s="25" t="s">
        <v>134</v>
      </c>
      <c r="P117" s="25" t="s">
        <v>64</v>
      </c>
      <c r="Q117" s="4">
        <f t="shared" si="4"/>
        <v>6176.165</v>
      </c>
    </row>
    <row r="118" spans="15:17" x14ac:dyDescent="0.3">
      <c r="O118" s="25" t="s">
        <v>135</v>
      </c>
      <c r="P118" s="25" t="s">
        <v>61</v>
      </c>
      <c r="Q118" s="4">
        <f t="shared" si="4"/>
        <v>4491.6899999999996</v>
      </c>
    </row>
    <row r="119" spans="15:17" x14ac:dyDescent="0.3">
      <c r="O119" s="25" t="s">
        <v>136</v>
      </c>
      <c r="P119" s="25" t="s">
        <v>61</v>
      </c>
      <c r="Q119" s="4">
        <f t="shared" si="4"/>
        <v>4491.6899999999996</v>
      </c>
    </row>
    <row r="120" spans="15:17" x14ac:dyDescent="0.3">
      <c r="O120" s="25" t="s">
        <v>137</v>
      </c>
      <c r="P120" s="25" t="s">
        <v>55</v>
      </c>
      <c r="Q120" s="4">
        <f t="shared" si="4"/>
        <v>5070.58</v>
      </c>
    </row>
    <row r="121" spans="15:17" x14ac:dyDescent="0.3">
      <c r="O121" s="25" t="s">
        <v>138</v>
      </c>
      <c r="P121" s="25" t="s">
        <v>68</v>
      </c>
      <c r="Q121" s="4">
        <f t="shared" si="4"/>
        <v>6042.9400000000005</v>
      </c>
    </row>
    <row r="122" spans="15:17" x14ac:dyDescent="0.3">
      <c r="O122" s="25" t="s">
        <v>139</v>
      </c>
      <c r="P122" s="25" t="s">
        <v>55</v>
      </c>
      <c r="Q122" s="4">
        <f t="shared" si="4"/>
        <v>5070.58</v>
      </c>
    </row>
    <row r="123" spans="15:17" x14ac:dyDescent="0.3">
      <c r="O123" s="25" t="s">
        <v>140</v>
      </c>
      <c r="P123" s="25" t="s">
        <v>55</v>
      </c>
      <c r="Q123" s="4">
        <f t="shared" si="4"/>
        <v>5070.58</v>
      </c>
    </row>
    <row r="124" spans="15:17" x14ac:dyDescent="0.3">
      <c r="O124" s="25" t="s">
        <v>141</v>
      </c>
      <c r="P124" s="25" t="s">
        <v>61</v>
      </c>
      <c r="Q124" s="4">
        <f t="shared" si="4"/>
        <v>4491.6899999999996</v>
      </c>
    </row>
    <row r="125" spans="15:17" x14ac:dyDescent="0.3">
      <c r="O125" s="25" t="s">
        <v>142</v>
      </c>
      <c r="P125" s="25" t="s">
        <v>55</v>
      </c>
      <c r="Q125" s="4">
        <f t="shared" si="4"/>
        <v>5070.58</v>
      </c>
    </row>
    <row r="126" spans="15:17" x14ac:dyDescent="0.3">
      <c r="O126" s="25" t="s">
        <v>143</v>
      </c>
      <c r="P126" s="25" t="s">
        <v>68</v>
      </c>
      <c r="Q126" s="4">
        <f t="shared" si="4"/>
        <v>6042.9400000000005</v>
      </c>
    </row>
    <row r="127" spans="15:17" x14ac:dyDescent="0.3">
      <c r="O127" s="25" t="s">
        <v>144</v>
      </c>
      <c r="P127" s="25" t="s">
        <v>68</v>
      </c>
      <c r="Q127" s="4">
        <f t="shared" si="4"/>
        <v>6042.9400000000005</v>
      </c>
    </row>
    <row r="128" spans="15:17" x14ac:dyDescent="0.3">
      <c r="O128" s="25" t="s">
        <v>145</v>
      </c>
      <c r="P128" s="25" t="s">
        <v>55</v>
      </c>
      <c r="Q128" s="4">
        <f t="shared" si="4"/>
        <v>5070.58</v>
      </c>
    </row>
    <row r="129" spans="15:17" x14ac:dyDescent="0.3">
      <c r="O129" s="25" t="s">
        <v>146</v>
      </c>
      <c r="P129" s="25" t="s">
        <v>52</v>
      </c>
      <c r="Q129" s="4">
        <f t="shared" si="4"/>
        <v>5396.5249999999996</v>
      </c>
    </row>
    <row r="130" spans="15:17" x14ac:dyDescent="0.3">
      <c r="O130" s="25" t="s">
        <v>147</v>
      </c>
      <c r="P130" s="25" t="s">
        <v>61</v>
      </c>
      <c r="Q130" s="4">
        <f t="shared" si="4"/>
        <v>4491.6899999999996</v>
      </c>
    </row>
    <row r="131" spans="15:17" x14ac:dyDescent="0.3">
      <c r="O131" s="25" t="s">
        <v>148</v>
      </c>
      <c r="P131" s="25" t="s">
        <v>52</v>
      </c>
      <c r="Q131" s="4">
        <f t="shared" si="4"/>
        <v>5396.5249999999996</v>
      </c>
    </row>
  </sheetData>
  <sortState ref="R40:R45">
    <sortCondition ref="R40:R45"/>
  </sortState>
  <mergeCells count="11">
    <mergeCell ref="F1:I1"/>
    <mergeCell ref="B3:I3"/>
    <mergeCell ref="B4:I4"/>
    <mergeCell ref="B5:I5"/>
    <mergeCell ref="B6:I6"/>
    <mergeCell ref="F16:G16"/>
    <mergeCell ref="B7:I7"/>
    <mergeCell ref="B10:I10"/>
    <mergeCell ref="B8:I8"/>
    <mergeCell ref="B9:I9"/>
    <mergeCell ref="F14:G14"/>
  </mergeCells>
  <dataValidations count="2">
    <dataValidation type="list" allowBlank="1" showInputMessage="1" showErrorMessage="1" sqref="F16:G16">
      <formula1>$V$27:$V$28</formula1>
    </dataValidation>
    <dataValidation type="list" allowBlank="1" showInputMessage="1" showErrorMessage="1" sqref="F14:G14">
      <formula1>$O$40:$O$131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Billing Analysis</vt:lpstr>
      <vt:lpstr>'Billing Analysis'!Print_Area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dphillips</dc:creator>
  <cp:lastModifiedBy>Melissa Dauby</cp:lastModifiedBy>
  <cp:lastPrinted>2010-12-07T13:22:11Z</cp:lastPrinted>
  <dcterms:created xsi:type="dcterms:W3CDTF">2010-09-28T12:24:25Z</dcterms:created>
  <dcterms:modified xsi:type="dcterms:W3CDTF">2023-02-14T18:40:43Z</dcterms:modified>
</cp:coreProperties>
</file>