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dauby\TTA\website\2021 New Website\Weatherization Forms\Electronic Forms\"/>
    </mc:Choice>
  </mc:AlternateContent>
  <bookViews>
    <workbookView xWindow="0" yWindow="0" windowWidth="28770" windowHeight="12270"/>
  </bookViews>
  <sheets>
    <sheet name="62.2 RETRO (App. A)" sheetId="4" r:id="rId1"/>
    <sheet name="under the hood RETRO (App. A)" sheetId="5" r:id="rId2"/>
  </sheets>
  <calcPr calcId="162913"/>
</workbook>
</file>

<file path=xl/calcChain.xml><?xml version="1.0" encoding="utf-8"?>
<calcChain xmlns="http://schemas.openxmlformats.org/spreadsheetml/2006/main">
  <c r="B204" i="5" l="1"/>
  <c r="A210" i="5" s="1"/>
  <c r="B201" i="5"/>
  <c r="B200" i="5"/>
  <c r="B199" i="5"/>
  <c r="B198" i="5"/>
  <c r="E54" i="5"/>
  <c r="G54" i="5" s="1"/>
  <c r="D54" i="5"/>
  <c r="F54" i="5" s="1"/>
  <c r="C54" i="5"/>
  <c r="B54" i="5"/>
  <c r="H54" i="5" s="1"/>
  <c r="E53" i="5"/>
  <c r="G53" i="5" s="1"/>
  <c r="D53" i="5"/>
  <c r="F53" i="5" s="1"/>
  <c r="C53" i="5"/>
  <c r="B53" i="5"/>
  <c r="H53" i="5" s="1"/>
  <c r="D52" i="5"/>
  <c r="F52" i="5" s="1"/>
  <c r="C52" i="5"/>
  <c r="E52" i="5" s="1"/>
  <c r="G52" i="5" s="1"/>
  <c r="B52" i="5"/>
  <c r="H52" i="5" s="1"/>
  <c r="F48" i="5"/>
  <c r="G48" i="5" s="1"/>
  <c r="C48" i="5"/>
  <c r="E48" i="5" s="1"/>
  <c r="B48" i="5"/>
  <c r="B36" i="5"/>
  <c r="B35" i="5"/>
  <c r="B37" i="5" s="1"/>
  <c r="D34" i="4" s="1"/>
  <c r="B29" i="5"/>
  <c r="B30" i="5" s="1"/>
  <c r="B32" i="5" s="1"/>
  <c r="B22" i="5"/>
  <c r="B20" i="5"/>
  <c r="B19" i="5"/>
  <c r="B14" i="5"/>
  <c r="B7" i="5"/>
  <c r="B1" i="5"/>
  <c r="D16" i="4"/>
  <c r="B18" i="5" l="1"/>
  <c r="B17" i="5" s="1"/>
  <c r="B24" i="5" s="1"/>
  <c r="M37" i="4"/>
  <c r="B12" i="5"/>
  <c r="D42" i="4" s="1"/>
  <c r="B34" i="5"/>
  <c r="B43" i="5" s="1"/>
  <c r="B13" i="5"/>
  <c r="D41" i="4" s="1"/>
  <c r="D48" i="5"/>
  <c r="L29" i="4" s="1"/>
  <c r="H48" i="5"/>
  <c r="D57" i="5" s="1"/>
  <c r="L37" i="4"/>
  <c r="B203" i="5"/>
  <c r="K38" i="4" s="1"/>
  <c r="N37" i="4"/>
  <c r="D49" i="4"/>
  <c r="B8" i="5"/>
  <c r="B4" i="5"/>
  <c r="B5" i="5" s="1"/>
  <c r="B10" i="5" s="1"/>
  <c r="D47" i="4" l="1"/>
  <c r="B40" i="5"/>
  <c r="D43" i="4"/>
  <c r="B58" i="5"/>
  <c r="D44" i="4"/>
  <c r="G43" i="4"/>
  <c r="B41" i="5" l="1"/>
  <c r="B42" i="5" s="1"/>
  <c r="D48" i="4"/>
  <c r="B61" i="5"/>
  <c r="B45" i="5"/>
  <c r="D51" i="4" s="1"/>
  <c r="B62" i="5" l="1"/>
  <c r="B192" i="5" s="1"/>
  <c r="K51" i="4"/>
  <c r="B84" i="5"/>
  <c r="B128" i="5" l="1"/>
  <c r="B156" i="5"/>
  <c r="B129" i="5"/>
  <c r="B145" i="5"/>
  <c r="B68" i="5"/>
  <c r="B73" i="5"/>
  <c r="B161" i="5"/>
  <c r="B81" i="5"/>
  <c r="B118" i="5"/>
  <c r="B140" i="5"/>
  <c r="B97" i="5"/>
  <c r="B66" i="5"/>
  <c r="B182" i="5"/>
  <c r="B100" i="5"/>
  <c r="B65" i="5"/>
  <c r="B113" i="5"/>
  <c r="B177" i="5"/>
  <c r="B150" i="5"/>
  <c r="B86" i="5"/>
  <c r="B112" i="5"/>
  <c r="B168" i="5"/>
  <c r="B89" i="5"/>
  <c r="B121" i="5"/>
  <c r="B153" i="5"/>
  <c r="B185" i="5"/>
  <c r="B102" i="5"/>
  <c r="B166" i="5"/>
  <c r="B105" i="5"/>
  <c r="B137" i="5"/>
  <c r="B169" i="5"/>
  <c r="B78" i="5"/>
  <c r="B134" i="5"/>
  <c r="B92" i="5"/>
  <c r="B120" i="5"/>
  <c r="B148" i="5"/>
  <c r="B188" i="5"/>
  <c r="B77" i="5"/>
  <c r="B93" i="5"/>
  <c r="B109" i="5"/>
  <c r="B125" i="5"/>
  <c r="B141" i="5"/>
  <c r="B157" i="5"/>
  <c r="B173" i="5"/>
  <c r="B193" i="5"/>
  <c r="B82" i="5"/>
  <c r="B114" i="5"/>
  <c r="B146" i="5"/>
  <c r="B178" i="5"/>
  <c r="B76" i="5"/>
  <c r="B104" i="5"/>
  <c r="B136" i="5"/>
  <c r="B160" i="5"/>
  <c r="B69" i="5"/>
  <c r="B85" i="5"/>
  <c r="B101" i="5"/>
  <c r="B117" i="5"/>
  <c r="B133" i="5"/>
  <c r="B149" i="5"/>
  <c r="B165" i="5"/>
  <c r="B181" i="5"/>
  <c r="B70" i="5"/>
  <c r="B98" i="5"/>
  <c r="B130" i="5"/>
  <c r="B162" i="5"/>
  <c r="B94" i="5"/>
  <c r="B110" i="5"/>
  <c r="B126" i="5"/>
  <c r="B142" i="5"/>
  <c r="B158" i="5"/>
  <c r="B174" i="5"/>
  <c r="B190" i="5"/>
  <c r="B71" i="5"/>
  <c r="B87" i="5"/>
  <c r="B103" i="5"/>
  <c r="B119" i="5"/>
  <c r="B135" i="5"/>
  <c r="B151" i="5"/>
  <c r="B167" i="5"/>
  <c r="B183" i="5"/>
  <c r="B72" i="5"/>
  <c r="B108" i="5"/>
  <c r="B144" i="5"/>
  <c r="B176" i="5"/>
  <c r="B75" i="5"/>
  <c r="B91" i="5"/>
  <c r="B107" i="5"/>
  <c r="B123" i="5"/>
  <c r="B139" i="5"/>
  <c r="B155" i="5"/>
  <c r="B171" i="5"/>
  <c r="B187" i="5"/>
  <c r="B80" i="5"/>
  <c r="B116" i="5"/>
  <c r="B152" i="5"/>
  <c r="B180" i="5"/>
  <c r="B79" i="5"/>
  <c r="B95" i="5"/>
  <c r="B111" i="5"/>
  <c r="B127" i="5"/>
  <c r="B143" i="5"/>
  <c r="B159" i="5"/>
  <c r="B175" i="5"/>
  <c r="B191" i="5"/>
  <c r="B88" i="5"/>
  <c r="B124" i="5"/>
  <c r="B164" i="5"/>
  <c r="B184" i="5"/>
  <c r="B189" i="5"/>
  <c r="B74" i="5"/>
  <c r="B90" i="5"/>
  <c r="B106" i="5"/>
  <c r="B122" i="5"/>
  <c r="B138" i="5"/>
  <c r="B154" i="5"/>
  <c r="B170" i="5"/>
  <c r="B186" i="5"/>
  <c r="B67" i="5"/>
  <c r="B83" i="5"/>
  <c r="B99" i="5"/>
  <c r="B115" i="5"/>
  <c r="B131" i="5"/>
  <c r="B147" i="5"/>
  <c r="B163" i="5"/>
  <c r="B179" i="5"/>
  <c r="B64" i="5"/>
  <c r="B96" i="5"/>
  <c r="B132" i="5"/>
  <c r="B172" i="5"/>
</calcChain>
</file>

<file path=xl/comments1.xml><?xml version="1.0" encoding="utf-8"?>
<comments xmlns="http://schemas.openxmlformats.org/spreadsheetml/2006/main">
  <authors>
    <author>Dan Phillips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Dan Phillips:</t>
        </r>
        <r>
          <rPr>
            <sz val="9"/>
            <color indexed="81"/>
            <rFont val="Tahoma"/>
            <family val="2"/>
          </rPr>
          <t xml:space="preserve">
This CFM number is the lowest CFM@50 the house can be at to use the standard combustion air calculations.
If the house is tighter than this CFM@50, the Known Air Infiltration Rate method must be used to calculate combustion air.</t>
        </r>
      </text>
    </comment>
  </commentList>
</comments>
</file>

<file path=xl/sharedStrings.xml><?xml version="1.0" encoding="utf-8"?>
<sst xmlns="http://schemas.openxmlformats.org/spreadsheetml/2006/main" count="146" uniqueCount="128">
  <si>
    <t>Living Space</t>
  </si>
  <si>
    <t>Volume</t>
  </si>
  <si>
    <t>CFM50</t>
  </si>
  <si>
    <t># Bedrooms</t>
  </si>
  <si>
    <t># Occupants</t>
  </si>
  <si>
    <t>.4 ACH</t>
  </si>
  <si>
    <t>Evansville</t>
  </si>
  <si>
    <t>Cincinnati</t>
  </si>
  <si>
    <t>Indianapolis</t>
  </si>
  <si>
    <t>Fort Wayne</t>
  </si>
  <si>
    <t>South Bend</t>
  </si>
  <si>
    <t>Chicago</t>
  </si>
  <si>
    <t>Location:</t>
  </si>
  <si>
    <t>1 ACH</t>
  </si>
  <si>
    <t>ACH50</t>
  </si>
  <si>
    <t>Old .4 ACH MVR</t>
  </si>
  <si>
    <t>Section 4.1</t>
  </si>
  <si>
    <t>Occupant</t>
  </si>
  <si>
    <t># of occupants</t>
  </si>
  <si>
    <t># bedrms</t>
  </si>
  <si>
    <t># people</t>
  </si>
  <si>
    <t>CFM</t>
  </si>
  <si>
    <t>Total Fan flow rate</t>
  </si>
  <si>
    <t>ASHRAE 119 &amp; 136 Factor</t>
  </si>
  <si>
    <t>Needed measured difference</t>
  </si>
  <si>
    <t>This needs to be greater than .4 ACH</t>
  </si>
  <si>
    <t>Kitchen volume</t>
  </si>
  <si>
    <t>Is the fan rated for continuous use?</t>
  </si>
  <si>
    <t>Kitchen analysis</t>
  </si>
  <si>
    <t>Bath analysis</t>
  </si>
  <si>
    <t>Bath 1 net</t>
  </si>
  <si>
    <t>Bath 2 net</t>
  </si>
  <si>
    <t>Bath 3 net</t>
  </si>
  <si>
    <t>Bath 4 net</t>
  </si>
  <si>
    <t>Amount to add to whole house ventilation</t>
  </si>
  <si>
    <t>Intermittant</t>
  </si>
  <si>
    <t>Continuous</t>
  </si>
  <si>
    <t>Spot Ventilation deficits</t>
  </si>
  <si>
    <t>Int. deficit</t>
  </si>
  <si>
    <t>Cont. deficit</t>
  </si>
  <si>
    <t>Spot</t>
  </si>
  <si>
    <t>Int. math</t>
  </si>
  <si>
    <t>Cont. math</t>
  </si>
  <si>
    <t>No Ventilation Rate</t>
  </si>
  <si>
    <t>Existing Home Information (Section 4.1)</t>
  </si>
  <si>
    <t>Local Exhaust (Section 5.1)</t>
  </si>
  <si>
    <t>Kitchen</t>
  </si>
  <si>
    <t>Does this bathroom exist?</t>
  </si>
  <si>
    <t>Is there an operable window?</t>
  </si>
  <si>
    <t>Measured fan flow rate (cfm)</t>
  </si>
  <si>
    <t>In compliance?</t>
  </si>
  <si>
    <t>Mechanical deficit</t>
  </si>
  <si>
    <t>cuft</t>
  </si>
  <si>
    <t>cfm</t>
  </si>
  <si>
    <t>cf hour</t>
  </si>
  <si>
    <t>Min of run time</t>
  </si>
  <si>
    <t>CFH</t>
  </si>
  <si>
    <t>Cheat Test</t>
  </si>
  <si>
    <t>Bath1</t>
  </si>
  <si>
    <t>Bath2</t>
  </si>
  <si>
    <t>Bath3</t>
  </si>
  <si>
    <t>Bath4</t>
  </si>
  <si>
    <t>Section 4.1.2 Infiltration Credit</t>
  </si>
  <si>
    <t>ELA multiplier</t>
  </si>
  <si>
    <t>ELA</t>
  </si>
  <si>
    <t>Normalized Leakage</t>
  </si>
  <si>
    <t>4.5a</t>
  </si>
  <si>
    <t>Effective Annual Average Infiltration Rate</t>
  </si>
  <si>
    <t>Infiltration credit</t>
  </si>
  <si>
    <t>Huntingburg</t>
  </si>
  <si>
    <t>Terre Haute</t>
  </si>
  <si>
    <t>Bloomington</t>
  </si>
  <si>
    <t>Lafayette</t>
  </si>
  <si>
    <t>Peru</t>
  </si>
  <si>
    <t>Muncie</t>
  </si>
  <si>
    <t>Random</t>
  </si>
  <si>
    <t>I don't think so.</t>
  </si>
  <si>
    <t>You aren't done yet.</t>
  </si>
  <si>
    <t>Verbage</t>
  </si>
  <si>
    <t>Not quite finished.</t>
  </si>
  <si>
    <t>Audit</t>
  </si>
  <si>
    <t>Interim</t>
  </si>
  <si>
    <t>Final</t>
  </si>
  <si>
    <t>.4 ACH MVR (cfm50)</t>
  </si>
  <si>
    <t>Local ventilation deficit (cfm):</t>
  </si>
  <si>
    <t>Infiltration Credit (cfm):</t>
  </si>
  <si>
    <t>No need to ventilate rate (cfm):</t>
  </si>
  <si>
    <t>Is structure used for combustion air?</t>
  </si>
  <si>
    <t>Bath 1</t>
  </si>
  <si>
    <t>Bath 2</t>
  </si>
  <si>
    <t>Bath 3</t>
  </si>
  <si>
    <t>Measured CFM of fan used to comply with ASHRAE 62.2:</t>
  </si>
  <si>
    <t>Minutes fan is set to run per hour:</t>
  </si>
  <si>
    <t>15 cfm waiver</t>
  </si>
  <si>
    <t>Current ACH</t>
  </si>
  <si>
    <t>Number of stories</t>
  </si>
  <si>
    <t>Client Name:</t>
  </si>
  <si>
    <t>Address:</t>
  </si>
  <si>
    <t>Date:</t>
  </si>
  <si>
    <t>Stage:</t>
  </si>
  <si>
    <t>Job #:</t>
  </si>
  <si>
    <t>Phone #:</t>
  </si>
  <si>
    <t>INPUT RELVANT DATA INTO RED CELLS</t>
  </si>
  <si>
    <t>CFM50 (post Wx)</t>
  </si>
  <si>
    <t>Combustion</t>
  </si>
  <si>
    <t>Outputs</t>
  </si>
  <si>
    <t>Local exhaust inputs valid?</t>
  </si>
  <si>
    <t>Whole house vent. req. (cfm):</t>
  </si>
  <si>
    <t>Final documentation</t>
  </si>
  <si>
    <t>If a fan was used to comply with 62.2, in what room is it located?</t>
  </si>
  <si>
    <t>YES</t>
  </si>
  <si>
    <t>NO</t>
  </si>
  <si>
    <t>Continuous Mechanical Ventilation needed (cfm):</t>
  </si>
  <si>
    <t>Is the fan a range hood?</t>
  </si>
  <si>
    <t>NO FAN</t>
  </si>
  <si>
    <t>No hood</t>
  </si>
  <si>
    <t>No hood check</t>
  </si>
  <si>
    <t>Sqft of living space surface area</t>
  </si>
  <si>
    <t>Exterior surface area ratio</t>
  </si>
  <si>
    <t>Attached dwelling tightness measurement</t>
  </si>
  <si>
    <t>Attached dwelling tightness check</t>
  </si>
  <si>
    <t>Attached dwelling tightness max cfm</t>
  </si>
  <si>
    <t>62.2 N Factor</t>
  </si>
  <si>
    <t>62.2 ACHN</t>
  </si>
  <si>
    <t>Sqft of living space surface area NOT shared</t>
  </si>
  <si>
    <t>TEC N Factor</t>
  </si>
  <si>
    <t>TEC ACHN</t>
  </si>
  <si>
    <t>Still something missing!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</si>
</sst>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D31245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8746A"/>
        <bgColor indexed="64"/>
      </patternFill>
    </fill>
    <fill>
      <patternFill patternType="solid">
        <fgColor rgb="FFD3124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31245"/>
      </left>
      <right style="medium">
        <color rgb="FFD31245"/>
      </right>
      <top style="medium">
        <color rgb="FFD31245"/>
      </top>
      <bottom style="medium">
        <color rgb="FFD31245"/>
      </bottom>
      <diagonal/>
    </border>
    <border>
      <left style="thin">
        <color rgb="FFD31245"/>
      </left>
      <right style="thin">
        <color rgb="FFD31245"/>
      </right>
      <top style="thin">
        <color rgb="FFD31245"/>
      </top>
      <bottom style="thin">
        <color rgb="FFD31245"/>
      </bottom>
      <diagonal/>
    </border>
    <border>
      <left style="thin">
        <color rgb="FFD31245"/>
      </left>
      <right style="thin">
        <color rgb="FFD31245"/>
      </right>
      <top style="thin">
        <color rgb="FFD31245"/>
      </top>
      <bottom/>
      <diagonal/>
    </border>
    <border>
      <left style="thin">
        <color rgb="FFD31245"/>
      </left>
      <right style="thin">
        <color rgb="FFD31245"/>
      </right>
      <top/>
      <bottom style="thin">
        <color rgb="FFD31245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D31245"/>
      </right>
      <top/>
      <bottom/>
      <diagonal/>
    </border>
    <border>
      <left style="thin">
        <color rgb="FFD31245"/>
      </left>
      <right style="thin">
        <color rgb="FFD31245"/>
      </right>
      <top/>
      <bottom/>
      <diagonal/>
    </border>
    <border>
      <left style="medium">
        <color rgb="FFD31245"/>
      </left>
      <right style="thin">
        <color rgb="FFD31245"/>
      </right>
      <top style="medium">
        <color rgb="FFD31245"/>
      </top>
      <bottom style="medium">
        <color rgb="FFD31245"/>
      </bottom>
      <diagonal/>
    </border>
    <border>
      <left style="thin">
        <color rgb="FFD31245"/>
      </left>
      <right style="medium">
        <color rgb="FFD31245"/>
      </right>
      <top style="medium">
        <color rgb="FFD31245"/>
      </top>
      <bottom style="medium">
        <color rgb="FFD3124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1245"/>
      </left>
      <right/>
      <top style="thin">
        <color rgb="FFD31245"/>
      </top>
      <bottom style="thin">
        <color rgb="FFD31245"/>
      </bottom>
      <diagonal/>
    </border>
    <border>
      <left/>
      <right/>
      <top style="thin">
        <color rgb="FFD31245"/>
      </top>
      <bottom style="thin">
        <color rgb="FFD31245"/>
      </bottom>
      <diagonal/>
    </border>
    <border>
      <left/>
      <right style="thin">
        <color rgb="FFD31245"/>
      </right>
      <top style="thin">
        <color rgb="FFD31245"/>
      </top>
      <bottom style="thin">
        <color rgb="FFD31245"/>
      </bottom>
      <diagonal/>
    </border>
    <border>
      <left style="thin">
        <color rgb="FFD31245"/>
      </left>
      <right/>
      <top style="thin">
        <color rgb="FFD31245"/>
      </top>
      <bottom/>
      <diagonal/>
    </border>
    <border>
      <left/>
      <right/>
      <top style="thin">
        <color rgb="FFD31245"/>
      </top>
      <bottom/>
      <diagonal/>
    </border>
    <border>
      <left/>
      <right style="thin">
        <color rgb="FFD31245"/>
      </right>
      <top style="thin">
        <color rgb="FFD31245"/>
      </top>
      <bottom/>
      <diagonal/>
    </border>
    <border>
      <left style="thin">
        <color rgb="FFD31245"/>
      </left>
      <right/>
      <top/>
      <bottom style="thin">
        <color rgb="FFD31245"/>
      </bottom>
      <diagonal/>
    </border>
    <border>
      <left/>
      <right/>
      <top/>
      <bottom style="thin">
        <color rgb="FFD31245"/>
      </bottom>
      <diagonal/>
    </border>
    <border>
      <left/>
      <right style="thin">
        <color rgb="FFD31245"/>
      </right>
      <top/>
      <bottom style="thin">
        <color rgb="FFD31245"/>
      </bottom>
      <diagonal/>
    </border>
    <border>
      <left style="medium">
        <color rgb="FFD31245"/>
      </left>
      <right/>
      <top style="medium">
        <color rgb="FFD31245"/>
      </top>
      <bottom style="medium">
        <color rgb="FFD31245"/>
      </bottom>
      <diagonal/>
    </border>
    <border>
      <left/>
      <right/>
      <top style="medium">
        <color rgb="FFD31245"/>
      </top>
      <bottom style="medium">
        <color rgb="FFD31245"/>
      </bottom>
      <diagonal/>
    </border>
    <border>
      <left/>
      <right style="medium">
        <color rgb="FFD31245"/>
      </right>
      <top style="medium">
        <color rgb="FFD31245"/>
      </top>
      <bottom style="medium">
        <color rgb="FFD31245"/>
      </bottom>
      <diagonal/>
    </border>
    <border>
      <left style="thin">
        <color auto="1"/>
      </left>
      <right/>
      <top style="medium">
        <color rgb="FFD31245"/>
      </top>
      <bottom style="thin">
        <color auto="1"/>
      </bottom>
      <diagonal/>
    </border>
    <border>
      <left/>
      <right/>
      <top style="medium">
        <color rgb="FFD31245"/>
      </top>
      <bottom style="thin">
        <color auto="1"/>
      </bottom>
      <diagonal/>
    </border>
    <border>
      <left/>
      <right style="thin">
        <color auto="1"/>
      </right>
      <top style="medium">
        <color rgb="FFD31245"/>
      </top>
      <bottom style="thin">
        <color auto="1"/>
      </bottom>
      <diagonal/>
    </border>
    <border>
      <left/>
      <right style="thin">
        <color rgb="FFD31245"/>
      </right>
      <top style="thin">
        <color indexed="64"/>
      </top>
      <bottom style="thin">
        <color indexed="64"/>
      </bottom>
      <diagonal/>
    </border>
    <border>
      <left style="thin">
        <color rgb="FFD31245"/>
      </left>
      <right/>
      <top style="medium">
        <color rgb="FFD31245"/>
      </top>
      <bottom/>
      <diagonal/>
    </border>
    <border>
      <left/>
      <right style="thin">
        <color rgb="FFD31245"/>
      </right>
      <top style="medium">
        <color rgb="FFD31245"/>
      </top>
      <bottom/>
      <diagonal/>
    </border>
    <border>
      <left/>
      <right style="thin">
        <color rgb="FFD31245"/>
      </right>
      <top/>
      <bottom style="thin">
        <color indexed="64"/>
      </bottom>
      <diagonal/>
    </border>
    <border>
      <left/>
      <right style="medium">
        <color rgb="FFD31245"/>
      </right>
      <top style="thin">
        <color indexed="64"/>
      </top>
      <bottom style="thin">
        <color indexed="64"/>
      </bottom>
      <diagonal/>
    </border>
    <border>
      <left/>
      <right style="medium">
        <color rgb="FFD31245"/>
      </right>
      <top style="thin">
        <color indexed="64"/>
      </top>
      <bottom/>
      <diagonal/>
    </border>
    <border>
      <left/>
      <right style="medium">
        <color rgb="FFD31245"/>
      </right>
      <top/>
      <bottom style="thin">
        <color indexed="64"/>
      </bottom>
      <diagonal/>
    </border>
    <border>
      <left style="medium">
        <color rgb="FFD31245"/>
      </left>
      <right/>
      <top style="medium">
        <color rgb="FFD31245"/>
      </top>
      <bottom/>
      <diagonal/>
    </border>
    <border>
      <left/>
      <right style="medium">
        <color rgb="FFD31245"/>
      </right>
      <top style="medium">
        <color rgb="FFD31245"/>
      </top>
      <bottom/>
      <diagonal/>
    </border>
    <border>
      <left style="medium">
        <color rgb="FFD31245"/>
      </left>
      <right/>
      <top/>
      <bottom style="medium">
        <color rgb="FFD31245"/>
      </bottom>
      <diagonal/>
    </border>
    <border>
      <left/>
      <right style="medium">
        <color rgb="FFD31245"/>
      </right>
      <top/>
      <bottom style="medium">
        <color rgb="FFD31245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D31245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rgb="FFD31245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6" fillId="0" borderId="8" xfId="0" applyFont="1" applyBorder="1"/>
    <xf numFmtId="0" fontId="6" fillId="0" borderId="9" xfId="0" applyFont="1" applyBorder="1"/>
    <xf numFmtId="0" fontId="6" fillId="0" borderId="8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8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9" xfId="0" applyFont="1" applyBorder="1" applyAlignment="1" applyProtection="1">
      <alignment horizontal="center"/>
      <protection locked="0"/>
    </xf>
    <xf numFmtId="0" fontId="6" fillId="0" borderId="48" xfId="0" applyFont="1" applyBorder="1"/>
    <xf numFmtId="0" fontId="6" fillId="0" borderId="49" xfId="0" applyFont="1" applyBorder="1"/>
    <xf numFmtId="0" fontId="6" fillId="0" borderId="47" xfId="0" applyFont="1" applyBorder="1"/>
    <xf numFmtId="0" fontId="4" fillId="0" borderId="50" xfId="0" applyFont="1" applyBorder="1"/>
    <xf numFmtId="0" fontId="5" fillId="0" borderId="11" xfId="0" applyFont="1" applyBorder="1"/>
    <xf numFmtId="0" fontId="4" fillId="0" borderId="11" xfId="0" applyFont="1" applyBorder="1"/>
    <xf numFmtId="0" fontId="6" fillId="0" borderId="11" xfId="0" applyFont="1" applyBorder="1"/>
    <xf numFmtId="0" fontId="6" fillId="0" borderId="52" xfId="0" applyFont="1" applyBorder="1"/>
    <xf numFmtId="0" fontId="6" fillId="0" borderId="5" xfId="0" applyFont="1" applyBorder="1"/>
    <xf numFmtId="0" fontId="6" fillId="0" borderId="20" xfId="0" applyFont="1" applyBorder="1"/>
    <xf numFmtId="0" fontId="6" fillId="0" borderId="2" xfId="0" applyFont="1" applyBorder="1"/>
    <xf numFmtId="0" fontId="6" fillId="0" borderId="10" xfId="0" applyFont="1" applyBorder="1" applyAlignment="1" applyProtection="1">
      <alignment horizontal="center"/>
      <protection locked="0"/>
    </xf>
    <xf numFmtId="0" fontId="0" fillId="0" borderId="0" xfId="0"/>
    <xf numFmtId="0" fontId="6" fillId="0" borderId="30" xfId="0" applyFont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5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20" xfId="0" applyFont="1" applyBorder="1"/>
    <xf numFmtId="0" fontId="6" fillId="0" borderId="17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5" xfId="0" applyFont="1" applyFill="1" applyBorder="1"/>
    <xf numFmtId="0" fontId="6" fillId="0" borderId="20" xfId="0" applyFont="1" applyFill="1" applyBorder="1"/>
    <xf numFmtId="0" fontId="6" fillId="0" borderId="36" xfId="0" applyFont="1" applyFill="1" applyBorder="1"/>
    <xf numFmtId="0" fontId="6" fillId="0" borderId="10" xfId="0" applyFont="1" applyBorder="1" applyAlignment="1" applyProtection="1">
      <alignment horizontal="center"/>
      <protection locked="0"/>
    </xf>
    <xf numFmtId="0" fontId="6" fillId="0" borderId="13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41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6" fillId="0" borderId="12" xfId="0" applyFont="1" applyBorder="1" applyAlignment="1">
      <alignment horizontal="center" textRotation="90"/>
    </xf>
    <xf numFmtId="0" fontId="6" fillId="0" borderId="0" xfId="0" applyFont="1" applyAlignment="1">
      <alignment horizontal="center" textRotation="90"/>
    </xf>
    <xf numFmtId="0" fontId="6" fillId="0" borderId="2" xfId="0" applyFont="1" applyBorder="1"/>
    <xf numFmtId="1" fontId="8" fillId="2" borderId="2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 applyProtection="1">
      <alignment horizontal="center" vertical="center" wrapText="1"/>
    </xf>
    <xf numFmtId="0" fontId="8" fillId="2" borderId="38" xfId="0" applyFont="1" applyFill="1" applyBorder="1" applyAlignment="1" applyProtection="1">
      <alignment horizontal="center" vertical="center" wrapText="1"/>
    </xf>
    <xf numFmtId="0" fontId="8" fillId="2" borderId="51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27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39" xfId="0" applyFont="1" applyBorder="1" applyAlignment="1">
      <alignment horizontal="center" wrapText="1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40" xfId="0" applyFont="1" applyBorder="1" applyAlignment="1">
      <alignment wrapText="1"/>
    </xf>
    <xf numFmtId="2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1" fontId="8" fillId="3" borderId="2" xfId="0" applyNumberFormat="1" applyFont="1" applyFill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5" xfId="0" applyNumberFormat="1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auto="1"/>
      </font>
      <fill>
        <patternFill>
          <bgColor rgb="FFFFFF66"/>
        </patternFill>
      </fill>
    </dxf>
    <dxf>
      <font>
        <b/>
        <i val="0"/>
        <color theme="0"/>
      </font>
      <fill>
        <patternFill>
          <bgColor rgb="FFD31245"/>
        </patternFill>
      </fill>
    </dxf>
  </dxfs>
  <tableStyles count="0" defaultTableStyle="TableStyleMedium9" defaultPivotStyle="PivotStyleLight16"/>
  <colors>
    <mruColors>
      <color rgb="FF88746A"/>
      <color rgb="FFD31245"/>
      <color rgb="FFFFFF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62.2 2016 Fan Flow</a:t>
            </a:r>
          </a:p>
          <a:p>
            <a:pPr>
              <a:defRPr sz="1600"/>
            </a:pPr>
            <a:r>
              <a:rPr lang="en-US" sz="1000" b="0"/>
              <a:t>If the grey "X" is at or above the red line, the fan provides enough flow for 62.2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Intermittant fan flow</c:v>
          </c:tx>
          <c:spPr>
            <a:ln>
              <a:solidFill>
                <a:srgbClr val="D31245"/>
              </a:solidFill>
            </a:ln>
          </c:spPr>
          <c:marker>
            <c:symbol val="none"/>
          </c:marker>
          <c:xVal>
            <c:numRef>
              <c:f>'under the hood RETRO (App. A)'!$A$64:$A$193</c:f>
              <c:numCache>
                <c:formatCode>General</c:formatCode>
                <c:ptCount val="1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</c:numCache>
            </c:numRef>
          </c:xVal>
          <c:yVal>
            <c:numRef>
              <c:f>'under the hood RETRO (App. A)'!$B$64:$B$193</c:f>
              <c:numCache>
                <c:formatCode>General</c:formatCode>
                <c:ptCount val="1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F6-4F8B-B7AD-1340260144D4}"/>
            </c:ext>
          </c:extLst>
        </c:ser>
        <c:ser>
          <c:idx val="1"/>
          <c:order val="1"/>
          <c:tx>
            <c:v>62.2 fan</c:v>
          </c:tx>
          <c:spPr>
            <a:ln>
              <a:noFill/>
            </a:ln>
          </c:spPr>
          <c:marker>
            <c:symbol val="none"/>
          </c:marker>
          <c:dPt>
            <c:idx val="0"/>
            <c:marker>
              <c:symbol val="x"/>
              <c:size val="10"/>
              <c:spPr>
                <a:noFill/>
                <a:ln w="38100">
                  <a:solidFill>
                    <a:srgbClr val="88746A"/>
                  </a:solidFill>
                </a:ln>
              </c:spPr>
            </c:marker>
            <c:bubble3D val="0"/>
            <c:spPr>
              <a:ln w="31750">
                <a:noFill/>
              </a:ln>
            </c:spPr>
            <c:extLst>
              <c:ext xmlns:c16="http://schemas.microsoft.com/office/drawing/2014/chart" uri="{C3380CC4-5D6E-409C-BE32-E72D297353CC}">
                <c16:uniqueId val="{00000002-37F6-4F8B-B7AD-1340260144D4}"/>
              </c:ext>
            </c:extLst>
          </c:dPt>
          <c:xVal>
            <c:numRef>
              <c:f>'62.2 RETRO (App. A)'!$L$48:$N$48</c:f>
              <c:numCache>
                <c:formatCode>General</c:formatCode>
                <c:ptCount val="3"/>
              </c:numCache>
            </c:numRef>
          </c:xVal>
          <c:yVal>
            <c:numRef>
              <c:f>'62.2 RETRO (App. A)'!$L$49:$N$49</c:f>
              <c:numCache>
                <c:formatCode>General</c:formatCode>
                <c:ptCount val="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7F6-4F8B-B7AD-134026014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23104"/>
        <c:axId val="113425024"/>
      </c:scatterChart>
      <c:valAx>
        <c:axId val="113423104"/>
        <c:scaling>
          <c:orientation val="minMax"/>
          <c:max val="13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Fan CFM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3425024"/>
        <c:crosses val="autoZero"/>
        <c:crossBetween val="midCat"/>
        <c:majorUnit val="10"/>
      </c:valAx>
      <c:valAx>
        <c:axId val="113425024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Run Time (minutes)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34231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51</xdr:row>
      <xdr:rowOff>66675</xdr:rowOff>
    </xdr:from>
    <xdr:to>
      <xdr:col>13</xdr:col>
      <xdr:colOff>352426</xdr:colOff>
      <xdr:row>60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tabSelected="1" zoomScaleNormal="100" workbookViewId="0">
      <selection activeCell="A34" sqref="A34:C36"/>
    </sheetView>
  </sheetViews>
  <sheetFormatPr defaultColWidth="6.140625" defaultRowHeight="15" x14ac:dyDescent="0.25"/>
  <cols>
    <col min="1" max="2" width="6.140625" style="32"/>
    <col min="3" max="3" width="8" style="32" customWidth="1"/>
    <col min="4" max="4" width="6.140625" style="32"/>
    <col min="5" max="5" width="8.42578125" style="32" customWidth="1"/>
    <col min="6" max="6" width="4.85546875" style="32" customWidth="1"/>
    <col min="7" max="10" width="6.140625" style="32"/>
    <col min="11" max="11" width="7.28515625" style="32" customWidth="1"/>
    <col min="12" max="14" width="6.140625" style="32" customWidth="1"/>
    <col min="15" max="16" width="6.140625" style="32"/>
    <col min="17" max="17" width="6.140625" style="32" hidden="1" customWidth="1"/>
    <col min="18" max="16384" width="6.140625" style="32"/>
  </cols>
  <sheetData>
    <row r="1" spans="1:17" s="8" customFormat="1" ht="12.75" x14ac:dyDescent="0.2">
      <c r="A1" s="8" t="s">
        <v>96</v>
      </c>
      <c r="C1" s="36"/>
      <c r="D1" s="37"/>
      <c r="E1" s="37"/>
      <c r="F1" s="37"/>
      <c r="G1" s="37"/>
      <c r="H1" s="37"/>
      <c r="I1" s="37"/>
      <c r="J1" s="38"/>
      <c r="K1" s="8" t="s">
        <v>100</v>
      </c>
      <c r="L1" s="36"/>
      <c r="M1" s="37"/>
      <c r="N1" s="38"/>
    </row>
    <row r="2" spans="1:17" ht="2.1" customHeight="1" x14ac:dyDescent="0.25"/>
    <row r="3" spans="1:17" s="8" customFormat="1" ht="12.75" x14ac:dyDescent="0.2">
      <c r="A3" s="8" t="s">
        <v>97</v>
      </c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7" ht="2.1" customHeight="1" x14ac:dyDescent="0.25"/>
    <row r="5" spans="1:17" s="8" customFormat="1" ht="12.75" x14ac:dyDescent="0.2">
      <c r="A5" s="8" t="s">
        <v>101</v>
      </c>
      <c r="C5" s="36"/>
      <c r="D5" s="37"/>
      <c r="E5" s="38"/>
      <c r="F5" s="8" t="s">
        <v>98</v>
      </c>
      <c r="G5" s="36"/>
      <c r="H5" s="37"/>
      <c r="I5" s="37"/>
      <c r="J5" s="38"/>
      <c r="K5" s="8" t="s">
        <v>99</v>
      </c>
      <c r="L5" s="36"/>
      <c r="M5" s="37"/>
      <c r="N5" s="38"/>
    </row>
    <row r="6" spans="1:17" ht="3.95" customHeight="1" x14ac:dyDescent="0.25"/>
    <row r="7" spans="1:17" s="8" customFormat="1" ht="12.75" x14ac:dyDescent="0.2">
      <c r="A7" s="9" t="s">
        <v>102</v>
      </c>
    </row>
    <row r="8" spans="1:17" ht="17.25" x14ac:dyDescent="0.3">
      <c r="A8" s="7" t="s">
        <v>44</v>
      </c>
    </row>
    <row r="9" spans="1:17" ht="3.95" customHeight="1" thickBot="1" x14ac:dyDescent="0.3"/>
    <row r="10" spans="1:17" ht="18" thickBot="1" x14ac:dyDescent="0.35">
      <c r="A10" s="39" t="s">
        <v>0</v>
      </c>
      <c r="B10" s="40"/>
      <c r="C10" s="41"/>
      <c r="D10" s="42"/>
      <c r="E10" s="43"/>
      <c r="F10" s="8"/>
      <c r="G10" s="23" t="s">
        <v>45</v>
      </c>
      <c r="H10" s="3"/>
      <c r="I10" s="3"/>
      <c r="J10" s="3"/>
      <c r="K10" s="3"/>
      <c r="L10" s="3"/>
      <c r="M10" s="3"/>
      <c r="N10" s="3"/>
      <c r="Q10" s="32" t="s">
        <v>110</v>
      </c>
    </row>
    <row r="11" spans="1:17" s="8" customFormat="1" ht="13.5" thickBot="1" x14ac:dyDescent="0.25">
      <c r="A11" s="44" t="s">
        <v>1</v>
      </c>
      <c r="B11" s="45"/>
      <c r="C11" s="45"/>
      <c r="D11" s="42"/>
      <c r="E11" s="43"/>
      <c r="G11" s="44" t="s">
        <v>26</v>
      </c>
      <c r="H11" s="45"/>
      <c r="I11" s="45"/>
      <c r="J11" s="45"/>
      <c r="K11" s="45"/>
      <c r="L11" s="33"/>
      <c r="M11" s="34"/>
      <c r="N11" s="35"/>
      <c r="Q11" s="8" t="s">
        <v>111</v>
      </c>
    </row>
    <row r="12" spans="1:17" s="8" customFormat="1" ht="13.5" thickBot="1" x14ac:dyDescent="0.25">
      <c r="A12" s="44" t="s">
        <v>95</v>
      </c>
      <c r="B12" s="45"/>
      <c r="C12" s="45"/>
      <c r="D12" s="46"/>
      <c r="E12" s="46"/>
      <c r="G12" s="44" t="s">
        <v>48</v>
      </c>
      <c r="H12" s="45"/>
      <c r="I12" s="45"/>
      <c r="J12" s="45"/>
      <c r="K12" s="45"/>
      <c r="L12" s="47"/>
      <c r="M12" s="48"/>
      <c r="N12" s="49"/>
      <c r="Q12" s="8" t="s">
        <v>114</v>
      </c>
    </row>
    <row r="13" spans="1:17" s="8" customFormat="1" ht="13.5" thickBot="1" x14ac:dyDescent="0.25">
      <c r="A13" s="44" t="s">
        <v>3</v>
      </c>
      <c r="B13" s="45"/>
      <c r="C13" s="45"/>
      <c r="D13" s="42"/>
      <c r="E13" s="43"/>
      <c r="G13" s="44" t="s">
        <v>27</v>
      </c>
      <c r="H13" s="45"/>
      <c r="I13" s="45"/>
      <c r="J13" s="45"/>
      <c r="K13" s="45"/>
      <c r="L13" s="50"/>
      <c r="M13" s="51"/>
      <c r="N13" s="52"/>
      <c r="Q13" s="8" t="s">
        <v>80</v>
      </c>
    </row>
    <row r="14" spans="1:17" s="8" customFormat="1" ht="13.5" thickBot="1" x14ac:dyDescent="0.25">
      <c r="A14" s="44" t="s">
        <v>4</v>
      </c>
      <c r="B14" s="45"/>
      <c r="C14" s="45"/>
      <c r="D14" s="42"/>
      <c r="E14" s="43"/>
      <c r="G14" s="53" t="s">
        <v>113</v>
      </c>
      <c r="H14" s="54"/>
      <c r="I14" s="54"/>
      <c r="J14" s="54"/>
      <c r="K14" s="55"/>
      <c r="L14" s="50"/>
      <c r="M14" s="51"/>
      <c r="N14" s="52"/>
      <c r="Q14" s="8" t="s">
        <v>81</v>
      </c>
    </row>
    <row r="15" spans="1:17" s="8" customFormat="1" ht="13.5" thickBot="1" x14ac:dyDescent="0.25">
      <c r="A15" s="44" t="s">
        <v>12</v>
      </c>
      <c r="B15" s="45"/>
      <c r="C15" s="45"/>
      <c r="D15" s="56"/>
      <c r="E15" s="56"/>
      <c r="G15" s="44" t="s">
        <v>49</v>
      </c>
      <c r="H15" s="45"/>
      <c r="I15" s="45"/>
      <c r="J15" s="45"/>
      <c r="K15" s="45"/>
      <c r="L15" s="33"/>
      <c r="M15" s="34"/>
      <c r="N15" s="35"/>
      <c r="Q15" s="8" t="s">
        <v>82</v>
      </c>
    </row>
    <row r="16" spans="1:17" s="8" customFormat="1" ht="13.5" hidden="1" thickBot="1" x14ac:dyDescent="0.25">
      <c r="A16" s="28" t="s">
        <v>12</v>
      </c>
      <c r="B16" s="29"/>
      <c r="C16" s="29"/>
      <c r="D16" s="10" t="e">
        <f>VLOOKUP(D15,A17:C28,3,FALSE)</f>
        <v>#N/A</v>
      </c>
      <c r="E16" s="10"/>
    </row>
    <row r="17" spans="1:17" s="8" customFormat="1" ht="13.5" hidden="1" thickBot="1" x14ac:dyDescent="0.25">
      <c r="A17" s="28" t="s">
        <v>71</v>
      </c>
      <c r="B17" s="29"/>
      <c r="C17" s="29">
        <v>0.47</v>
      </c>
      <c r="D17" s="10"/>
      <c r="E17" s="10"/>
    </row>
    <row r="18" spans="1:17" s="8" customFormat="1" ht="13.5" hidden="1" thickBot="1" x14ac:dyDescent="0.25">
      <c r="A18" s="28" t="s">
        <v>11</v>
      </c>
      <c r="B18" s="29"/>
      <c r="C18" s="29">
        <v>0.56000000000000005</v>
      </c>
      <c r="D18" s="10"/>
      <c r="E18" s="10"/>
    </row>
    <row r="19" spans="1:17" s="8" customFormat="1" ht="13.5" hidden="1" thickBot="1" x14ac:dyDescent="0.25">
      <c r="A19" s="28" t="s">
        <v>7</v>
      </c>
      <c r="B19" s="29"/>
      <c r="C19" s="29">
        <v>0.47</v>
      </c>
      <c r="D19" s="10"/>
      <c r="E19" s="10"/>
    </row>
    <row r="20" spans="1:17" s="8" customFormat="1" ht="13.5" hidden="1" thickBot="1" x14ac:dyDescent="0.25">
      <c r="A20" s="28" t="s">
        <v>6</v>
      </c>
      <c r="B20" s="29"/>
      <c r="C20" s="29">
        <v>0.48</v>
      </c>
      <c r="D20" s="10"/>
      <c r="E20" s="10"/>
    </row>
    <row r="21" spans="1:17" s="8" customFormat="1" ht="13.5" hidden="1" thickBot="1" x14ac:dyDescent="0.25">
      <c r="A21" s="28" t="s">
        <v>9</v>
      </c>
      <c r="B21" s="29"/>
      <c r="C21" s="29">
        <v>0.56999999999999995</v>
      </c>
      <c r="D21" s="10"/>
      <c r="E21" s="10"/>
    </row>
    <row r="22" spans="1:17" s="8" customFormat="1" ht="13.5" hidden="1" thickBot="1" x14ac:dyDescent="0.25">
      <c r="A22" s="28" t="s">
        <v>69</v>
      </c>
      <c r="B22" s="29"/>
      <c r="C22" s="29">
        <v>0.45</v>
      </c>
      <c r="D22" s="10"/>
      <c r="E22" s="10"/>
    </row>
    <row r="23" spans="1:17" s="8" customFormat="1" ht="13.5" hidden="1" thickBot="1" x14ac:dyDescent="0.25">
      <c r="A23" s="28" t="s">
        <v>8</v>
      </c>
      <c r="B23" s="29"/>
      <c r="C23" s="29">
        <v>0.54</v>
      </c>
      <c r="D23" s="10"/>
      <c r="E23" s="10"/>
    </row>
    <row r="24" spans="1:17" s="8" customFormat="1" ht="13.5" hidden="1" thickBot="1" x14ac:dyDescent="0.25">
      <c r="A24" s="28" t="s">
        <v>72</v>
      </c>
      <c r="B24" s="29"/>
      <c r="C24" s="29">
        <v>0.53</v>
      </c>
      <c r="D24" s="10"/>
      <c r="E24" s="10"/>
    </row>
    <row r="25" spans="1:17" s="8" customFormat="1" ht="13.5" hidden="1" thickBot="1" x14ac:dyDescent="0.25">
      <c r="A25" s="28" t="s">
        <v>74</v>
      </c>
      <c r="B25" s="29"/>
      <c r="C25" s="29">
        <v>0.53</v>
      </c>
      <c r="D25" s="10"/>
      <c r="E25" s="10"/>
    </row>
    <row r="26" spans="1:17" s="8" customFormat="1" ht="13.5" hidden="1" thickBot="1" x14ac:dyDescent="0.25">
      <c r="A26" s="28" t="s">
        <v>73</v>
      </c>
      <c r="B26" s="29"/>
      <c r="C26" s="29">
        <v>0.54</v>
      </c>
      <c r="D26" s="10"/>
      <c r="E26" s="10"/>
    </row>
    <row r="27" spans="1:17" s="8" customFormat="1" ht="13.5" hidden="1" thickBot="1" x14ac:dyDescent="0.25">
      <c r="A27" s="28" t="s">
        <v>10</v>
      </c>
      <c r="B27" s="29"/>
      <c r="C27" s="29">
        <v>0.56999999999999995</v>
      </c>
      <c r="D27" s="10"/>
      <c r="E27" s="10"/>
    </row>
    <row r="28" spans="1:17" s="8" customFormat="1" ht="13.5" hidden="1" thickBot="1" x14ac:dyDescent="0.25">
      <c r="A28" s="28" t="s">
        <v>70</v>
      </c>
      <c r="B28" s="29"/>
      <c r="C28" s="29">
        <v>0.5</v>
      </c>
      <c r="D28" s="11"/>
      <c r="E28" s="11"/>
    </row>
    <row r="29" spans="1:17" s="8" customFormat="1" ht="13.5" customHeight="1" x14ac:dyDescent="0.2">
      <c r="A29" s="57" t="s">
        <v>117</v>
      </c>
      <c r="B29" s="58"/>
      <c r="C29" s="59"/>
      <c r="D29" s="63"/>
      <c r="E29" s="64"/>
      <c r="G29" s="44" t="s">
        <v>50</v>
      </c>
      <c r="H29" s="45"/>
      <c r="I29" s="45"/>
      <c r="J29" s="45"/>
      <c r="K29" s="45"/>
      <c r="L29" s="67" t="str">
        <f>IF(AND('under the hood RETRO (App. A)'!D48&lt;=0,'under the hood RETRO (App. A)'!E48&lt;=0,'under the hood RETRO (App. A)'!G48&lt;=0,L11&gt;0,TYPE(L13)=2)=TRUE,"YES","NO")</f>
        <v>NO</v>
      </c>
      <c r="M29" s="68"/>
      <c r="N29" s="69"/>
      <c r="Q29" s="8">
        <v>1</v>
      </c>
    </row>
    <row r="30" spans="1:17" s="8" customFormat="1" ht="12.75" customHeight="1" thickBot="1" x14ac:dyDescent="0.25">
      <c r="A30" s="60"/>
      <c r="B30" s="61"/>
      <c r="C30" s="62"/>
      <c r="D30" s="65"/>
      <c r="E30" s="66"/>
      <c r="G30" s="20"/>
      <c r="H30" s="18"/>
      <c r="I30" s="18"/>
      <c r="J30" s="18"/>
      <c r="K30" s="18"/>
      <c r="L30" s="70" t="s">
        <v>88</v>
      </c>
      <c r="M30" s="70" t="s">
        <v>89</v>
      </c>
      <c r="N30" s="70" t="s">
        <v>90</v>
      </c>
      <c r="Q30" s="8">
        <v>2</v>
      </c>
    </row>
    <row r="31" spans="1:17" s="8" customFormat="1" ht="12.75" customHeight="1" x14ac:dyDescent="0.2">
      <c r="A31" s="57" t="s">
        <v>124</v>
      </c>
      <c r="B31" s="58"/>
      <c r="C31" s="59"/>
      <c r="D31" s="63"/>
      <c r="E31" s="64"/>
      <c r="G31" s="21"/>
      <c r="H31" s="18"/>
      <c r="I31" s="18"/>
      <c r="J31" s="18"/>
      <c r="K31" s="18"/>
      <c r="L31" s="71"/>
      <c r="M31" s="71"/>
      <c r="N31" s="71"/>
      <c r="Q31" s="8">
        <v>3</v>
      </c>
    </row>
    <row r="32" spans="1:17" s="8" customFormat="1" ht="13.5" customHeight="1" thickBot="1" x14ac:dyDescent="0.25">
      <c r="A32" s="60"/>
      <c r="B32" s="61"/>
      <c r="C32" s="62"/>
      <c r="D32" s="65"/>
      <c r="E32" s="66"/>
      <c r="G32" s="22"/>
      <c r="H32" s="18"/>
      <c r="I32" s="18"/>
      <c r="J32" s="18"/>
      <c r="K32" s="18"/>
      <c r="L32" s="71"/>
      <c r="M32" s="71"/>
      <c r="N32" s="71"/>
    </row>
    <row r="33" spans="1:14" s="8" customFormat="1" ht="15.75" customHeight="1" thickBot="1" x14ac:dyDescent="0.25">
      <c r="A33" s="106" t="s">
        <v>103</v>
      </c>
      <c r="B33" s="107"/>
      <c r="C33" s="108"/>
      <c r="D33" s="104"/>
      <c r="E33" s="105"/>
      <c r="G33" s="72" t="s">
        <v>47</v>
      </c>
      <c r="H33" s="72"/>
      <c r="I33" s="72"/>
      <c r="J33" s="72"/>
      <c r="K33" s="44"/>
      <c r="L33" s="12"/>
      <c r="M33" s="12"/>
      <c r="N33" s="12"/>
    </row>
    <row r="34" spans="1:14" s="8" customFormat="1" ht="13.5" customHeight="1" thickBot="1" x14ac:dyDescent="0.25">
      <c r="A34" s="74" t="s">
        <v>119</v>
      </c>
      <c r="B34" s="75"/>
      <c r="C34" s="76"/>
      <c r="D34" s="83" t="e">
        <f>'under the hood RETRO (App. A)'!B37</f>
        <v>#DIV/0!</v>
      </c>
      <c r="E34" s="84"/>
      <c r="G34" s="72" t="s">
        <v>48</v>
      </c>
      <c r="H34" s="72"/>
      <c r="I34" s="72"/>
      <c r="J34" s="72"/>
      <c r="K34" s="44"/>
      <c r="L34" s="19"/>
      <c r="M34" s="19"/>
      <c r="N34" s="19"/>
    </row>
    <row r="35" spans="1:14" s="8" customFormat="1" ht="15.75" customHeight="1" thickBot="1" x14ac:dyDescent="0.25">
      <c r="A35" s="77"/>
      <c r="B35" s="78"/>
      <c r="C35" s="79"/>
      <c r="D35" s="85"/>
      <c r="E35" s="86"/>
      <c r="G35" s="72" t="s">
        <v>49</v>
      </c>
      <c r="H35" s="72"/>
      <c r="I35" s="72"/>
      <c r="J35" s="72"/>
      <c r="K35" s="44"/>
      <c r="L35" s="13"/>
      <c r="M35" s="13"/>
      <c r="N35" s="13"/>
    </row>
    <row r="36" spans="1:14" s="8" customFormat="1" ht="12.75" customHeight="1" x14ac:dyDescent="0.2">
      <c r="A36" s="80"/>
      <c r="B36" s="81"/>
      <c r="C36" s="82"/>
      <c r="D36" s="87"/>
      <c r="E36" s="88"/>
      <c r="G36" s="72" t="s">
        <v>27</v>
      </c>
      <c r="H36" s="72"/>
      <c r="I36" s="72"/>
      <c r="J36" s="72"/>
      <c r="K36" s="44"/>
      <c r="L36" s="31"/>
      <c r="M36" s="31"/>
      <c r="N36" s="31"/>
    </row>
    <row r="37" spans="1:14" s="8" customFormat="1" ht="12.75" customHeight="1" x14ac:dyDescent="0.2">
      <c r="A37" s="89" t="s">
        <v>87</v>
      </c>
      <c r="B37" s="90"/>
      <c r="C37" s="91"/>
      <c r="D37" s="95"/>
      <c r="E37" s="96"/>
      <c r="G37" s="72" t="s">
        <v>50</v>
      </c>
      <c r="H37" s="72"/>
      <c r="I37" s="72"/>
      <c r="J37" s="72"/>
      <c r="K37" s="72"/>
      <c r="L37" s="14" t="str">
        <f>IF(AND('under the hood RETRO (App. A)'!$F52&lt;=0,'under the hood RETRO (App. A)'!$G52&lt;=0,L33="yes",TYPE(L36)=2)=TRUE,"YES","NO")</f>
        <v>NO</v>
      </c>
      <c r="M37" s="15" t="str">
        <f>IF(AND('under the hood RETRO (App. A)'!$F53&lt;=0,'under the hood RETRO (App. A)'!$G53&lt;=0,M33="yes",TYPE(M36)=2)=TRUE,"YES","NO")</f>
        <v>NO</v>
      </c>
      <c r="N37" s="15" t="str">
        <f>IF(AND('under the hood RETRO (App. A)'!$F54&lt;=0,'under the hood RETRO (App. A)'!$G54&lt;=0,N33="yes",TYPE(N36)=2)=TRUE,"YES","NO")</f>
        <v>NO</v>
      </c>
    </row>
    <row r="38" spans="1:14" s="8" customFormat="1" ht="12.75" customHeight="1" x14ac:dyDescent="0.2">
      <c r="A38" s="92"/>
      <c r="B38" s="93"/>
      <c r="C38" s="94"/>
      <c r="D38" s="97"/>
      <c r="E38" s="98"/>
      <c r="G38" s="99" t="s">
        <v>106</v>
      </c>
      <c r="H38" s="100"/>
      <c r="I38" s="100"/>
      <c r="J38" s="100"/>
      <c r="K38" s="103" t="str">
        <f ca="1">'under the hood RETRO (App. A)'!B203</f>
        <v>Not quite finished.</v>
      </c>
      <c r="L38" s="103"/>
      <c r="M38" s="103"/>
      <c r="N38" s="103"/>
    </row>
    <row r="39" spans="1:14" s="8" customFormat="1" ht="3.95" customHeight="1" x14ac:dyDescent="0.2">
      <c r="G39" s="101"/>
      <c r="H39" s="102"/>
      <c r="I39" s="102"/>
      <c r="J39" s="102"/>
      <c r="K39" s="103"/>
      <c r="L39" s="103"/>
      <c r="M39" s="103"/>
      <c r="N39" s="103"/>
    </row>
    <row r="40" spans="1:14" s="8" customFormat="1" ht="18.75" customHeight="1" x14ac:dyDescent="0.3">
      <c r="A40" s="25" t="s">
        <v>104</v>
      </c>
      <c r="B40" s="26"/>
      <c r="C40" s="26"/>
      <c r="D40" s="26"/>
      <c r="E40" s="26"/>
      <c r="F40" s="27"/>
    </row>
    <row r="41" spans="1:14" s="8" customFormat="1" ht="12.75" x14ac:dyDescent="0.2">
      <c r="A41" s="72" t="s">
        <v>122</v>
      </c>
      <c r="B41" s="72"/>
      <c r="C41" s="72"/>
      <c r="D41" s="73" t="e">
        <f>'under the hood RETRO (App. A)'!B13</f>
        <v>#N/A</v>
      </c>
      <c r="E41" s="73"/>
      <c r="G41" s="26"/>
      <c r="H41" s="26"/>
      <c r="I41" s="26"/>
      <c r="J41" s="26"/>
      <c r="K41" s="26"/>
      <c r="L41" s="26"/>
      <c r="M41" s="26"/>
      <c r="N41" s="26"/>
    </row>
    <row r="42" spans="1:14" x14ac:dyDescent="0.25">
      <c r="A42" s="72" t="s">
        <v>123</v>
      </c>
      <c r="B42" s="72"/>
      <c r="C42" s="72"/>
      <c r="D42" s="109" t="e">
        <f>'under the hood RETRO (App. A)'!B12</f>
        <v>#DIV/0!</v>
      </c>
      <c r="E42" s="109"/>
    </row>
    <row r="43" spans="1:14" s="8" customFormat="1" ht="12.75" customHeight="1" x14ac:dyDescent="0.2">
      <c r="A43" s="72" t="s">
        <v>126</v>
      </c>
      <c r="B43" s="72"/>
      <c r="C43" s="72"/>
      <c r="D43" s="109" t="e">
        <f>'under the hood RETRO (App. A)'!B12*'under the hood RETRO (App. A)'!B13/'under the hood RETRO (App. A)'!B14</f>
        <v>#DIV/0!</v>
      </c>
      <c r="E43" s="109"/>
      <c r="G43" s="110" t="str">
        <f>IF('62.2 RETRO (App. A)'!D37="yes",IF(D33&gt;'under the hood RETRO (App. A)'!B10,"House is sufficently 'leaky' for combustion appliances","Warrants further investigation to determine if interior air can be used for combustion"),"Not applicable")</f>
        <v>Not applicable</v>
      </c>
      <c r="H43" s="110"/>
      <c r="I43" s="110"/>
      <c r="J43" s="110"/>
      <c r="K43" s="110"/>
      <c r="L43" s="110"/>
      <c r="M43" s="110"/>
      <c r="N43" s="110"/>
    </row>
    <row r="44" spans="1:14" s="8" customFormat="1" ht="12.75" customHeight="1" x14ac:dyDescent="0.2">
      <c r="A44" s="72" t="s">
        <v>83</v>
      </c>
      <c r="B44" s="72"/>
      <c r="C44" s="72"/>
      <c r="D44" s="73" t="e">
        <f>'under the hood RETRO (App. A)'!B10</f>
        <v>#N/A</v>
      </c>
      <c r="E44" s="73"/>
      <c r="G44" s="110"/>
      <c r="H44" s="110"/>
      <c r="I44" s="110"/>
      <c r="J44" s="110"/>
      <c r="K44" s="110"/>
      <c r="L44" s="110"/>
      <c r="M44" s="110"/>
      <c r="N44" s="110"/>
    </row>
    <row r="45" spans="1:14" ht="3.95" customHeight="1" x14ac:dyDescent="0.25"/>
    <row r="46" spans="1:14" ht="18.75" x14ac:dyDescent="0.3">
      <c r="A46" s="24" t="s">
        <v>105</v>
      </c>
      <c r="B46" s="3"/>
      <c r="C46" s="3"/>
      <c r="D46" s="3"/>
      <c r="E46" s="3"/>
      <c r="F46" s="3"/>
      <c r="G46" s="25" t="s">
        <v>108</v>
      </c>
      <c r="H46" s="3"/>
      <c r="I46" s="3"/>
      <c r="J46" s="3"/>
      <c r="K46" s="3"/>
      <c r="L46" s="3"/>
      <c r="M46" s="3"/>
      <c r="N46" s="3"/>
    </row>
    <row r="47" spans="1:14" s="8" customFormat="1" ht="25.5" customHeight="1" x14ac:dyDescent="0.2">
      <c r="A47" s="111" t="s">
        <v>107</v>
      </c>
      <c r="B47" s="111"/>
      <c r="C47" s="111"/>
      <c r="D47" s="112">
        <f>'under the hood RETRO (App. A)'!B24</f>
        <v>7.5</v>
      </c>
      <c r="E47" s="112"/>
      <c r="G47" s="111" t="s">
        <v>109</v>
      </c>
      <c r="H47" s="111"/>
      <c r="I47" s="111"/>
      <c r="J47" s="111"/>
      <c r="K47" s="106"/>
      <c r="L47" s="113"/>
      <c r="M47" s="114"/>
      <c r="N47" s="115"/>
    </row>
    <row r="48" spans="1:14" s="8" customFormat="1" ht="25.5" customHeight="1" x14ac:dyDescent="0.2">
      <c r="A48" s="111" t="s">
        <v>84</v>
      </c>
      <c r="B48" s="111"/>
      <c r="C48" s="111"/>
      <c r="D48" s="112">
        <f>'under the hood RETRO (App. A)'!B58</f>
        <v>0</v>
      </c>
      <c r="E48" s="112"/>
      <c r="G48" s="111" t="s">
        <v>91</v>
      </c>
      <c r="H48" s="111"/>
      <c r="I48" s="111"/>
      <c r="J48" s="111"/>
      <c r="K48" s="106"/>
      <c r="L48" s="116"/>
      <c r="M48" s="117"/>
      <c r="N48" s="118"/>
    </row>
    <row r="49" spans="1:14" s="8" customFormat="1" ht="25.5" customHeight="1" x14ac:dyDescent="0.2">
      <c r="A49" s="120" t="s">
        <v>85</v>
      </c>
      <c r="B49" s="121"/>
      <c r="C49" s="122"/>
      <c r="D49" s="123" t="e">
        <f>'under the hood RETRO (App. A)'!B34*'under the hood RETRO (App. A)'!B35</f>
        <v>#DIV/0!</v>
      </c>
      <c r="E49" s="123"/>
      <c r="G49" s="16" t="s">
        <v>92</v>
      </c>
      <c r="H49" s="30"/>
      <c r="I49" s="30"/>
      <c r="J49" s="30"/>
      <c r="K49" s="28"/>
      <c r="L49" s="116"/>
      <c r="M49" s="117"/>
      <c r="N49" s="118"/>
    </row>
    <row r="50" spans="1:14" ht="3.95" customHeight="1" x14ac:dyDescent="0.25"/>
    <row r="51" spans="1:14" s="8" customFormat="1" ht="25.5" customHeight="1" x14ac:dyDescent="0.2">
      <c r="A51" s="111" t="s">
        <v>86</v>
      </c>
      <c r="B51" s="111"/>
      <c r="C51" s="111"/>
      <c r="D51" s="124" t="e">
        <f>'under the hood RETRO (App. A)'!B45</f>
        <v>#N/A</v>
      </c>
      <c r="E51" s="125"/>
      <c r="G51" s="111" t="s">
        <v>112</v>
      </c>
      <c r="H51" s="111"/>
      <c r="I51" s="111"/>
      <c r="J51" s="111"/>
      <c r="K51" s="126" t="e">
        <f>IF('under the hood RETRO (App. A)'!B61&lt;15.5,0,'under the hood RETRO (App. A)'!B61)</f>
        <v>#DIV/0!</v>
      </c>
      <c r="L51" s="126"/>
      <c r="M51" s="126"/>
      <c r="N51" s="17"/>
    </row>
    <row r="53" spans="1:14" ht="60" customHeight="1" x14ac:dyDescent="0.25">
      <c r="D53" s="119"/>
      <c r="E53" s="119"/>
    </row>
    <row r="61" spans="1:14" ht="18.75" customHeight="1" x14ac:dyDescent="0.25"/>
  </sheetData>
  <mergeCells count="75">
    <mergeCell ref="D53:E53"/>
    <mergeCell ref="A49:C49"/>
    <mergeCell ref="D49:E49"/>
    <mergeCell ref="L49:N49"/>
    <mergeCell ref="A51:C51"/>
    <mergeCell ref="D51:E51"/>
    <mergeCell ref="G51:J51"/>
    <mergeCell ref="K51:M51"/>
    <mergeCell ref="A47:C47"/>
    <mergeCell ref="D47:E47"/>
    <mergeCell ref="G47:K47"/>
    <mergeCell ref="L47:N47"/>
    <mergeCell ref="A48:C48"/>
    <mergeCell ref="D48:E48"/>
    <mergeCell ref="G48:K48"/>
    <mergeCell ref="L48:N48"/>
    <mergeCell ref="A42:C42"/>
    <mergeCell ref="D42:E42"/>
    <mergeCell ref="A43:C43"/>
    <mergeCell ref="D43:E43"/>
    <mergeCell ref="G43:N44"/>
    <mergeCell ref="A44:C44"/>
    <mergeCell ref="D44:E44"/>
    <mergeCell ref="A41:C41"/>
    <mergeCell ref="D41:E41"/>
    <mergeCell ref="G33:K33"/>
    <mergeCell ref="A34:C36"/>
    <mergeCell ref="D34:E36"/>
    <mergeCell ref="G34:K34"/>
    <mergeCell ref="G35:K35"/>
    <mergeCell ref="G36:K36"/>
    <mergeCell ref="A37:C38"/>
    <mergeCell ref="D37:E38"/>
    <mergeCell ref="G37:K37"/>
    <mergeCell ref="G38:J39"/>
    <mergeCell ref="K38:N39"/>
    <mergeCell ref="D33:E33"/>
    <mergeCell ref="A33:C33"/>
    <mergeCell ref="G29:K29"/>
    <mergeCell ref="L29:N29"/>
    <mergeCell ref="L30:L32"/>
    <mergeCell ref="M30:M32"/>
    <mergeCell ref="N30:N32"/>
    <mergeCell ref="A29:C30"/>
    <mergeCell ref="D29:E30"/>
    <mergeCell ref="D31:E32"/>
    <mergeCell ref="A31:C32"/>
    <mergeCell ref="A14:C14"/>
    <mergeCell ref="D14:E14"/>
    <mergeCell ref="G14:K14"/>
    <mergeCell ref="L14:N14"/>
    <mergeCell ref="A15:C15"/>
    <mergeCell ref="D15:E15"/>
    <mergeCell ref="G15:K15"/>
    <mergeCell ref="L15:N15"/>
    <mergeCell ref="A12:C12"/>
    <mergeCell ref="D12:E12"/>
    <mergeCell ref="G12:K12"/>
    <mergeCell ref="L12:N12"/>
    <mergeCell ref="A13:C13"/>
    <mergeCell ref="D13:E13"/>
    <mergeCell ref="G13:K13"/>
    <mergeCell ref="L13:N13"/>
    <mergeCell ref="L11:N11"/>
    <mergeCell ref="C1:J1"/>
    <mergeCell ref="L1:N1"/>
    <mergeCell ref="C3:N3"/>
    <mergeCell ref="C5:E5"/>
    <mergeCell ref="G5:J5"/>
    <mergeCell ref="L5:N5"/>
    <mergeCell ref="A10:C10"/>
    <mergeCell ref="D10:E10"/>
    <mergeCell ref="A11:C11"/>
    <mergeCell ref="D11:E11"/>
    <mergeCell ref="G11:K11"/>
  </mergeCells>
  <conditionalFormatting sqref="K51:M51">
    <cfRule type="cellIs" dxfId="2" priority="3" operator="greaterThan">
      <formula>15.5</formula>
    </cfRule>
  </conditionalFormatting>
  <conditionalFormatting sqref="G43:K44">
    <cfRule type="containsText" dxfId="1" priority="1" operator="containsText" text="Warrants further investigation to determine if interior air can be used for combustion">
      <formula>NOT(ISERROR(SEARCH("Warrants further investigation to determine if interior air can be used for combustion",G43)))</formula>
    </cfRule>
    <cfRule type="containsText" dxfId="0" priority="2" operator="containsText" text="House is sufficently 'leaky' for combustion appliances">
      <formula>NOT(ISERROR(SEARCH("House is sufficently 'leaky' for combustion appliances",G43)))</formula>
    </cfRule>
  </conditionalFormatting>
  <dataValidations count="5">
    <dataValidation type="list" allowBlank="1" showInputMessage="1" showErrorMessage="1" sqref="L14:N14">
      <formula1>$Q$10:$Q$12</formula1>
    </dataValidation>
    <dataValidation type="list" allowBlank="1" showInputMessage="1" showErrorMessage="1" sqref="D12:E12">
      <formula1>$Q$29:$Q$31</formula1>
    </dataValidation>
    <dataValidation type="list" allowBlank="1" showInputMessage="1" showErrorMessage="1" sqref="L5:N5">
      <formula1>$Q$13:$Q$15</formula1>
    </dataValidation>
    <dataValidation type="list" allowBlank="1" showInputMessage="1" showErrorMessage="1" sqref="D15:E15">
      <formula1>$A$17:$A$28</formula1>
    </dataValidation>
    <dataValidation type="list" allowBlank="1" showInputMessage="1" showErrorMessage="1" sqref="D37 L33:N34 L12:N13 L36:N36">
      <formula1>$Q$10:$Q$11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0"/>
  <sheetViews>
    <sheetView topLeftCell="A34" workbookViewId="0">
      <selection activeCell="D37" sqref="D37:E38"/>
    </sheetView>
  </sheetViews>
  <sheetFormatPr defaultRowHeight="15" x14ac:dyDescent="0.25"/>
  <cols>
    <col min="1" max="1" width="26.7109375" style="32" customWidth="1"/>
    <col min="2" max="16384" width="9.140625" style="32"/>
  </cols>
  <sheetData>
    <row r="1" spans="1:3" x14ac:dyDescent="0.25">
      <c r="A1" s="2" t="s">
        <v>23</v>
      </c>
      <c r="B1" s="32">
        <f>(1000*0.055/144)*8/60</f>
        <v>5.0925925925925923E-2</v>
      </c>
    </row>
    <row r="3" spans="1:3" x14ac:dyDescent="0.25">
      <c r="A3" s="1" t="s">
        <v>5</v>
      </c>
    </row>
    <row r="4" spans="1:3" x14ac:dyDescent="0.25">
      <c r="A4" s="32" t="s">
        <v>13</v>
      </c>
      <c r="B4" s="32">
        <f>'62.2 RETRO (App. A)'!D11</f>
        <v>0</v>
      </c>
      <c r="C4" s="32" t="s">
        <v>52</v>
      </c>
    </row>
    <row r="5" spans="1:3" x14ac:dyDescent="0.25">
      <c r="A5" s="32" t="s">
        <v>5</v>
      </c>
      <c r="B5" s="32">
        <f>B4*0.4</f>
        <v>0</v>
      </c>
      <c r="C5" s="32" t="s">
        <v>52</v>
      </c>
    </row>
    <row r="7" spans="1:3" x14ac:dyDescent="0.25">
      <c r="A7" s="32" t="s">
        <v>14</v>
      </c>
      <c r="B7" s="32">
        <f>'62.2 RETRO (App. A)'!D33*60</f>
        <v>0</v>
      </c>
      <c r="C7" s="32" t="s">
        <v>54</v>
      </c>
    </row>
    <row r="8" spans="1:3" x14ac:dyDescent="0.25">
      <c r="B8" s="32" t="e">
        <f>B7/((B1*'62.2 RETRO (App. A)'!D16*(('62.2 RETRO (App. A)'!D12)^0.4))^-1)</f>
        <v>#N/A</v>
      </c>
      <c r="C8" s="32" t="s">
        <v>25</v>
      </c>
    </row>
    <row r="10" spans="1:3" x14ac:dyDescent="0.25">
      <c r="A10" s="32" t="s">
        <v>15</v>
      </c>
      <c r="B10" s="32" t="e">
        <f>B5*(('62.2 RETRO (App. A)'!D16*(('62.2 RETRO (App. A)'!D12)^0.4)*B1)^-1)/60</f>
        <v>#N/A</v>
      </c>
      <c r="C10" s="32" t="s">
        <v>2</v>
      </c>
    </row>
    <row r="12" spans="1:3" x14ac:dyDescent="0.25">
      <c r="A12" s="32" t="s">
        <v>94</v>
      </c>
      <c r="B12" s="32" t="e">
        <f>B7/'62.2 RETRO (App. A)'!D11/((B1*'62.2 RETRO (App. A)'!D16*(('62.2 RETRO (App. A)'!D12)^0.4))^-1)</f>
        <v>#DIV/0!</v>
      </c>
    </row>
    <row r="13" spans="1:3" x14ac:dyDescent="0.25">
      <c r="A13" s="32" t="s">
        <v>122</v>
      </c>
      <c r="B13" s="32" t="e">
        <f>(B1*'62.2 RETRO (App. A)'!D16*'62.2 RETRO (App. A)'!D12^0.4)^-1</f>
        <v>#N/A</v>
      </c>
    </row>
    <row r="14" spans="1:3" x14ac:dyDescent="0.25">
      <c r="A14" s="32" t="s">
        <v>125</v>
      </c>
      <c r="B14" s="32" t="e">
        <f>CHOOSE('62.2 RETRO (App. A)'!D12,23,18.5,16)</f>
        <v>#VALUE!</v>
      </c>
    </row>
    <row r="16" spans="1:3" x14ac:dyDescent="0.25">
      <c r="A16" s="32" t="s">
        <v>16</v>
      </c>
    </row>
    <row r="17" spans="1:11" x14ac:dyDescent="0.25">
      <c r="A17" s="32" t="s">
        <v>17</v>
      </c>
      <c r="B17" s="32">
        <f>B18*7.5</f>
        <v>7.5</v>
      </c>
      <c r="C17" s="32" t="s">
        <v>21</v>
      </c>
    </row>
    <row r="18" spans="1:11" x14ac:dyDescent="0.25">
      <c r="A18" s="32" t="s">
        <v>18</v>
      </c>
      <c r="B18" s="32">
        <f>MAX(B19:B20)</f>
        <v>1</v>
      </c>
    </row>
    <row r="19" spans="1:11" x14ac:dyDescent="0.25">
      <c r="A19" s="32" t="s">
        <v>19</v>
      </c>
      <c r="B19" s="32">
        <f>'62.2 RETRO (App. A)'!D13+1</f>
        <v>1</v>
      </c>
    </row>
    <row r="20" spans="1:11" x14ac:dyDescent="0.25">
      <c r="A20" s="32" t="s">
        <v>20</v>
      </c>
      <c r="B20" s="32">
        <f>'62.2 RETRO (App. A)'!D14</f>
        <v>0</v>
      </c>
    </row>
    <row r="22" spans="1:11" x14ac:dyDescent="0.25">
      <c r="A22" s="32" t="s">
        <v>0</v>
      </c>
      <c r="B22" s="32">
        <f>'62.2 RETRO (App. A)'!D10*0.03</f>
        <v>0</v>
      </c>
      <c r="C22" s="32" t="s">
        <v>21</v>
      </c>
    </row>
    <row r="24" spans="1:11" x14ac:dyDescent="0.25">
      <c r="A24" s="32" t="s">
        <v>22</v>
      </c>
      <c r="B24" s="32">
        <f>B22+B17</f>
        <v>7.5</v>
      </c>
      <c r="J24" s="1"/>
      <c r="K24" s="1"/>
    </row>
    <row r="27" spans="1:11" x14ac:dyDescent="0.25">
      <c r="A27" s="32" t="s">
        <v>62</v>
      </c>
    </row>
    <row r="28" spans="1:11" x14ac:dyDescent="0.25">
      <c r="A28" s="4">
        <v>4.3</v>
      </c>
    </row>
    <row r="29" spans="1:11" x14ac:dyDescent="0.25">
      <c r="A29" s="32" t="s">
        <v>63</v>
      </c>
      <c r="B29" s="32">
        <f>0.055/144</f>
        <v>3.8194444444444446E-4</v>
      </c>
    </row>
    <row r="30" spans="1:11" x14ac:dyDescent="0.25">
      <c r="A30" s="32" t="s">
        <v>64</v>
      </c>
      <c r="B30" s="32">
        <f>B29*'62.2 RETRO (App. A)'!D33</f>
        <v>0</v>
      </c>
    </row>
    <row r="31" spans="1:11" x14ac:dyDescent="0.25">
      <c r="A31" s="4">
        <v>4.4000000000000004</v>
      </c>
    </row>
    <row r="32" spans="1:11" x14ac:dyDescent="0.25">
      <c r="A32" s="32" t="s">
        <v>65</v>
      </c>
      <c r="B32" s="32" t="e">
        <f>1000*(B30/'62.2 RETRO (App. A)'!D10)*(('62.2 RETRO (App. A)'!D12)^0.4)</f>
        <v>#DIV/0!</v>
      </c>
    </row>
    <row r="33" spans="1:8" x14ac:dyDescent="0.25">
      <c r="A33" s="32" t="s">
        <v>66</v>
      </c>
    </row>
    <row r="34" spans="1:8" x14ac:dyDescent="0.25">
      <c r="A34" s="32" t="s">
        <v>67</v>
      </c>
      <c r="B34" s="32" t="e">
        <f>(B32*'62.2 RETRO (App. A)'!D16*'62.2 RETRO (App. A)'!D10)/7.3*B35</f>
        <v>#DIV/0!</v>
      </c>
    </row>
    <row r="35" spans="1:8" x14ac:dyDescent="0.25">
      <c r="A35" s="32" t="s">
        <v>118</v>
      </c>
      <c r="B35" s="32" t="e">
        <f>'62.2 RETRO (App. A)'!D31/'62.2 RETRO (App. A)'!D29</f>
        <v>#DIV/0!</v>
      </c>
    </row>
    <row r="36" spans="1:8" x14ac:dyDescent="0.25">
      <c r="A36" s="32" t="s">
        <v>121</v>
      </c>
      <c r="B36" s="32">
        <f>'62.2 RETRO (App. A)'!D29*0.3</f>
        <v>0</v>
      </c>
    </row>
    <row r="37" spans="1:8" x14ac:dyDescent="0.25">
      <c r="A37" s="32" t="s">
        <v>120</v>
      </c>
      <c r="B37" s="32" t="e">
        <f>IF(B35=1,".",IF(AND('62.2 RETRO (App. A)'!D29&gt;0,'62.2 RETRO (App. A)'!D31&gt;0,'62.2 RETRO (App. A)'!D33&lt;B36)=TRUE,"OK","Air movement must be minimized"))</f>
        <v>#DIV/0!</v>
      </c>
    </row>
    <row r="39" spans="1:8" x14ac:dyDescent="0.25">
      <c r="A39" s="32" t="s">
        <v>43</v>
      </c>
    </row>
    <row r="40" spans="1:8" x14ac:dyDescent="0.25">
      <c r="A40" s="32">
        <v>4.0999999999999996</v>
      </c>
      <c r="B40" s="32">
        <f>B24</f>
        <v>7.5</v>
      </c>
    </row>
    <row r="41" spans="1:8" x14ac:dyDescent="0.25">
      <c r="A41" s="32" t="s">
        <v>40</v>
      </c>
      <c r="B41" s="32">
        <f>B58</f>
        <v>0</v>
      </c>
    </row>
    <row r="42" spans="1:8" ht="30" x14ac:dyDescent="0.25">
      <c r="A42" s="2" t="s">
        <v>24</v>
      </c>
      <c r="B42" s="32">
        <f>B40+B41</f>
        <v>7.5</v>
      </c>
    </row>
    <row r="43" spans="1:8" x14ac:dyDescent="0.25">
      <c r="A43" s="32" t="s">
        <v>68</v>
      </c>
      <c r="B43" s="32" t="e">
        <f>B34*B35</f>
        <v>#DIV/0!</v>
      </c>
    </row>
    <row r="44" spans="1:8" x14ac:dyDescent="0.25">
      <c r="A44" s="32" t="s">
        <v>93</v>
      </c>
      <c r="B44" s="32">
        <v>15.5</v>
      </c>
    </row>
    <row r="45" spans="1:8" x14ac:dyDescent="0.25">
      <c r="A45" s="32" t="s">
        <v>2</v>
      </c>
      <c r="B45" s="32" t="e">
        <f>((B24+B58-B44)*7.3)/((('62.2 RETRO (App. A)'!D12)^0.4)*('62.2 RETRO (App. A)'!D10*'62.2 RETRO (App. A)'!D16))*('62.2 RETRO (App. A)'!D10/1000)/(0.055/144)</f>
        <v>#N/A</v>
      </c>
    </row>
    <row r="47" spans="1:8" x14ac:dyDescent="0.25">
      <c r="B47" s="32" t="s">
        <v>35</v>
      </c>
      <c r="C47" s="32" t="s">
        <v>36</v>
      </c>
      <c r="D47" s="32" t="s">
        <v>38</v>
      </c>
      <c r="E47" s="32" t="s">
        <v>39</v>
      </c>
      <c r="F47" s="32" t="s">
        <v>115</v>
      </c>
      <c r="G47" s="32" t="s">
        <v>116</v>
      </c>
      <c r="H47" s="32" t="s">
        <v>37</v>
      </c>
    </row>
    <row r="48" spans="1:8" x14ac:dyDescent="0.25">
      <c r="A48" s="32" t="s">
        <v>28</v>
      </c>
      <c r="B48" s="32">
        <f>IF('62.2 RETRO (App. A)'!L13="no",IF('62.2 RETRO (App. A)'!L12="yes",80,100)-'62.2 RETRO (App. A)'!L15,0)</f>
        <v>0</v>
      </c>
      <c r="C48" s="32">
        <f>IF('62.2 RETRO (App. A)'!L13="yes",('62.2 RETRO (App. A)'!L11/60*5)-'62.2 RETRO (App. A)'!L15,0)</f>
        <v>0</v>
      </c>
      <c r="D48" s="32">
        <f>IF(AND('62.2 RETRO (App. A)'!L13="no",'under the hood RETRO (App. A)'!B48&gt;0)=TRUE,'under the hood RETRO (App. A)'!B48,0)</f>
        <v>0</v>
      </c>
      <c r="E48" s="32">
        <f>IF(AND('62.2 RETRO (App. A)'!L13="yes",'under the hood RETRO (App. A)'!C48&gt;0)=TRUE,'under the hood RETRO (App. A)'!C48,0)</f>
        <v>0</v>
      </c>
      <c r="F48" s="32">
        <f>IF(AND('62.2 RETRO (App. A)'!L13="no",'62.2 RETRO (App. A)'!L14="NO")=TRUE,IF('62.2 RETRO (App. A)'!L12="yes",280,300)-'62.2 RETRO (App. A)'!L15,0)</f>
        <v>0</v>
      </c>
      <c r="G48" s="32">
        <f>IF(AND('62.2 RETRO (App. A)'!L14="NO",'under the hood RETRO (App. A)'!F48&lt;0)=TRUE,0,F48)</f>
        <v>0</v>
      </c>
      <c r="H48" s="32">
        <f>IF(B48&gt;=0,B48,0)</f>
        <v>0</v>
      </c>
    </row>
    <row r="51" spans="1:8" x14ac:dyDescent="0.25">
      <c r="A51" s="32" t="s">
        <v>29</v>
      </c>
      <c r="B51" s="32" t="s">
        <v>35</v>
      </c>
      <c r="C51" s="32" t="s">
        <v>36</v>
      </c>
      <c r="D51" s="32" t="s">
        <v>41</v>
      </c>
      <c r="E51" s="32" t="s">
        <v>42</v>
      </c>
      <c r="F51" s="32" t="s">
        <v>38</v>
      </c>
      <c r="G51" s="32" t="s">
        <v>39</v>
      </c>
      <c r="H51" s="32" t="s">
        <v>37</v>
      </c>
    </row>
    <row r="52" spans="1:8" x14ac:dyDescent="0.25">
      <c r="A52" s="32" t="s">
        <v>30</v>
      </c>
      <c r="B52" s="32">
        <f>IF('62.2 RETRO (App. A)'!L33="yes",50-IF('62.2 RETRO (App. A)'!L34="yes",20,0)-'62.2 RETRO (App. A)'!L35,0)</f>
        <v>0</v>
      </c>
      <c r="C52" s="32">
        <f>IF(AND('62.2 RETRO (App. A)'!L33="yes",'62.2 RETRO (App. A)'!L36="yes")=TRUE,20-'62.2 RETRO (App. A)'!L35,0)</f>
        <v>0</v>
      </c>
      <c r="D52" s="32">
        <f>IF(AND('62.2 RETRO (App. A)'!L33="yes",'62.2 RETRO (App. A)'!L36="no")=TRUE,'under the hood RETRO (App. A)'!B52,0)</f>
        <v>0</v>
      </c>
      <c r="E52" s="32">
        <f>IF(AND('62.2 RETRO (App. A)'!L33="yes",'62.2 RETRO (App. A)'!L36="yes")=TRUE,'under the hood RETRO (App. A)'!C52,0)</f>
        <v>0</v>
      </c>
      <c r="F52" s="32">
        <f>IF(D52&lt;0,0,D52)</f>
        <v>0</v>
      </c>
      <c r="G52" s="32">
        <f>IF(E52&lt;0,0,E52)</f>
        <v>0</v>
      </c>
      <c r="H52" s="32">
        <f>IF(B52&gt;=0,B52,0)</f>
        <v>0</v>
      </c>
    </row>
    <row r="53" spans="1:8" x14ac:dyDescent="0.25">
      <c r="A53" s="32" t="s">
        <v>31</v>
      </c>
      <c r="B53" s="32">
        <f>IF('62.2 RETRO (App. A)'!M33="yes",50-IF('62.2 RETRO (App. A)'!M34="yes",20,0)-'62.2 RETRO (App. A)'!M35,0)</f>
        <v>0</v>
      </c>
      <c r="C53" s="32">
        <f>IF(AND('62.2 RETRO (App. A)'!M33="yes",'62.2 RETRO (App. A)'!M36="yes")=TRUE,20-'62.2 RETRO (App. A)'!M35,0)</f>
        <v>0</v>
      </c>
      <c r="D53" s="32">
        <f>IF(AND('62.2 RETRO (App. A)'!M33="yes",'62.2 RETRO (App. A)'!M36="no")=TRUE,'under the hood RETRO (App. A)'!B53,0)</f>
        <v>0</v>
      </c>
      <c r="E53" s="32">
        <f>IF(AND('62.2 RETRO (App. A)'!M33="yes",'62.2 RETRO (App. A)'!M36="yes")=TRUE,'under the hood RETRO (App. A)'!C53,0)</f>
        <v>0</v>
      </c>
      <c r="F53" s="32">
        <f t="shared" ref="F53:G54" si="0">IF(D53&lt;0,0,D53)</f>
        <v>0</v>
      </c>
      <c r="G53" s="32">
        <f t="shared" si="0"/>
        <v>0</v>
      </c>
      <c r="H53" s="32">
        <f>IF(B53&gt;=0,B53,0)</f>
        <v>0</v>
      </c>
    </row>
    <row r="54" spans="1:8" x14ac:dyDescent="0.25">
      <c r="A54" s="32" t="s">
        <v>32</v>
      </c>
      <c r="B54" s="32">
        <f>IF('62.2 RETRO (App. A)'!N33="yes",50-IF('62.2 RETRO (App. A)'!N34="yes",20,0)-'62.2 RETRO (App. A)'!N35,0)</f>
        <v>0</v>
      </c>
      <c r="C54" s="32">
        <f>IF(AND('62.2 RETRO (App. A)'!N33="yes",'62.2 RETRO (App. A)'!N36="yes")=TRUE,20-'62.2 RETRO (App. A)'!N35,0)</f>
        <v>0</v>
      </c>
      <c r="D54" s="32">
        <f>IF(AND('62.2 RETRO (App. A)'!N33="yes",'62.2 RETRO (App. A)'!N36="no")=TRUE,'under the hood RETRO (App. A)'!B54,0)</f>
        <v>0</v>
      </c>
      <c r="E54" s="32">
        <f>IF(AND('62.2 RETRO (App. A)'!N33="yes",'62.2 RETRO (App. A)'!N36="yes")=TRUE,'under the hood RETRO (App. A)'!C54,0)</f>
        <v>0</v>
      </c>
      <c r="F54" s="32">
        <f t="shared" si="0"/>
        <v>0</v>
      </c>
      <c r="G54" s="32">
        <f t="shared" si="0"/>
        <v>0</v>
      </c>
      <c r="H54" s="32">
        <f>IF(B54&gt;=0,B54,0)</f>
        <v>0</v>
      </c>
    </row>
    <row r="55" spans="1:8" x14ac:dyDescent="0.25">
      <c r="A55" s="32" t="s">
        <v>33</v>
      </c>
    </row>
    <row r="57" spans="1:8" x14ac:dyDescent="0.25">
      <c r="A57" s="2" t="s">
        <v>37</v>
      </c>
      <c r="D57" s="32">
        <f>(SUM(H52:H54)+H48)/4</f>
        <v>0</v>
      </c>
    </row>
    <row r="58" spans="1:8" ht="30" x14ac:dyDescent="0.25">
      <c r="A58" s="2" t="s">
        <v>34</v>
      </c>
      <c r="B58" s="1">
        <f>SUM(D57+E57)</f>
        <v>0</v>
      </c>
    </row>
    <row r="61" spans="1:8" x14ac:dyDescent="0.25">
      <c r="A61" s="5" t="s">
        <v>51</v>
      </c>
      <c r="B61" s="5" t="e">
        <f>(B24+B58-B34)</f>
        <v>#DIV/0!</v>
      </c>
    </row>
    <row r="62" spans="1:8" x14ac:dyDescent="0.25">
      <c r="A62" s="5"/>
      <c r="B62" s="5" t="e">
        <f>B61*60</f>
        <v>#DIV/0!</v>
      </c>
      <c r="C62" s="32" t="s">
        <v>56</v>
      </c>
    </row>
    <row r="63" spans="1:8" x14ac:dyDescent="0.25">
      <c r="A63" s="5" t="s">
        <v>53</v>
      </c>
      <c r="B63" s="5" t="s">
        <v>55</v>
      </c>
    </row>
    <row r="64" spans="1:8" x14ac:dyDescent="0.25">
      <c r="A64" s="5">
        <v>1</v>
      </c>
      <c r="B64" s="5" t="e">
        <f>IF($B$61&gt;15.5,$B$62/A64,0)</f>
        <v>#DIV/0!</v>
      </c>
    </row>
    <row r="65" spans="1:2" x14ac:dyDescent="0.25">
      <c r="A65" s="5">
        <v>2</v>
      </c>
      <c r="B65" s="5" t="e">
        <f t="shared" ref="B65:B128" si="1">IF($B$61&gt;15.5,$B$62/A65,0)</f>
        <v>#DIV/0!</v>
      </c>
    </row>
    <row r="66" spans="1:2" x14ac:dyDescent="0.25">
      <c r="A66" s="5">
        <v>3</v>
      </c>
      <c r="B66" s="5" t="e">
        <f t="shared" si="1"/>
        <v>#DIV/0!</v>
      </c>
    </row>
    <row r="67" spans="1:2" x14ac:dyDescent="0.25">
      <c r="A67" s="5">
        <v>4</v>
      </c>
      <c r="B67" s="5" t="e">
        <f t="shared" si="1"/>
        <v>#DIV/0!</v>
      </c>
    </row>
    <row r="68" spans="1:2" x14ac:dyDescent="0.25">
      <c r="A68" s="5">
        <v>5</v>
      </c>
      <c r="B68" s="5" t="e">
        <f t="shared" si="1"/>
        <v>#DIV/0!</v>
      </c>
    </row>
    <row r="69" spans="1:2" x14ac:dyDescent="0.25">
      <c r="A69" s="5">
        <v>6</v>
      </c>
      <c r="B69" s="5" t="e">
        <f t="shared" si="1"/>
        <v>#DIV/0!</v>
      </c>
    </row>
    <row r="70" spans="1:2" x14ac:dyDescent="0.25">
      <c r="A70" s="5">
        <v>7</v>
      </c>
      <c r="B70" s="5" t="e">
        <f t="shared" si="1"/>
        <v>#DIV/0!</v>
      </c>
    </row>
    <row r="71" spans="1:2" x14ac:dyDescent="0.25">
      <c r="A71" s="5">
        <v>8</v>
      </c>
      <c r="B71" s="5" t="e">
        <f t="shared" si="1"/>
        <v>#DIV/0!</v>
      </c>
    </row>
    <row r="72" spans="1:2" x14ac:dyDescent="0.25">
      <c r="A72" s="5">
        <v>9</v>
      </c>
      <c r="B72" s="5" t="e">
        <f t="shared" si="1"/>
        <v>#DIV/0!</v>
      </c>
    </row>
    <row r="73" spans="1:2" x14ac:dyDescent="0.25">
      <c r="A73" s="5">
        <v>10</v>
      </c>
      <c r="B73" s="5" t="e">
        <f t="shared" si="1"/>
        <v>#DIV/0!</v>
      </c>
    </row>
    <row r="74" spans="1:2" x14ac:dyDescent="0.25">
      <c r="A74" s="5">
        <v>11</v>
      </c>
      <c r="B74" s="5" t="e">
        <f t="shared" si="1"/>
        <v>#DIV/0!</v>
      </c>
    </row>
    <row r="75" spans="1:2" x14ac:dyDescent="0.25">
      <c r="A75" s="5">
        <v>12</v>
      </c>
      <c r="B75" s="5" t="e">
        <f t="shared" si="1"/>
        <v>#DIV/0!</v>
      </c>
    </row>
    <row r="76" spans="1:2" x14ac:dyDescent="0.25">
      <c r="A76" s="5">
        <v>13</v>
      </c>
      <c r="B76" s="5" t="e">
        <f t="shared" si="1"/>
        <v>#DIV/0!</v>
      </c>
    </row>
    <row r="77" spans="1:2" x14ac:dyDescent="0.25">
      <c r="A77" s="5">
        <v>14</v>
      </c>
      <c r="B77" s="5" t="e">
        <f t="shared" si="1"/>
        <v>#DIV/0!</v>
      </c>
    </row>
    <row r="78" spans="1:2" x14ac:dyDescent="0.25">
      <c r="A78" s="5">
        <v>15</v>
      </c>
      <c r="B78" s="5" t="e">
        <f t="shared" si="1"/>
        <v>#DIV/0!</v>
      </c>
    </row>
    <row r="79" spans="1:2" x14ac:dyDescent="0.25">
      <c r="A79" s="5">
        <v>16</v>
      </c>
      <c r="B79" s="5" t="e">
        <f t="shared" si="1"/>
        <v>#DIV/0!</v>
      </c>
    </row>
    <row r="80" spans="1:2" x14ac:dyDescent="0.25">
      <c r="A80" s="5">
        <v>17</v>
      </c>
      <c r="B80" s="5" t="e">
        <f t="shared" si="1"/>
        <v>#DIV/0!</v>
      </c>
    </row>
    <row r="81" spans="1:2" x14ac:dyDescent="0.25">
      <c r="A81" s="5">
        <v>18</v>
      </c>
      <c r="B81" s="5" t="e">
        <f t="shared" si="1"/>
        <v>#DIV/0!</v>
      </c>
    </row>
    <row r="82" spans="1:2" x14ac:dyDescent="0.25">
      <c r="A82" s="5">
        <v>19</v>
      </c>
      <c r="B82" s="5" t="e">
        <f t="shared" si="1"/>
        <v>#DIV/0!</v>
      </c>
    </row>
    <row r="83" spans="1:2" x14ac:dyDescent="0.25">
      <c r="A83" s="5">
        <v>20</v>
      </c>
      <c r="B83" s="5" t="e">
        <f t="shared" si="1"/>
        <v>#DIV/0!</v>
      </c>
    </row>
    <row r="84" spans="1:2" x14ac:dyDescent="0.25">
      <c r="A84" s="5">
        <v>21</v>
      </c>
      <c r="B84" s="5" t="e">
        <f t="shared" si="1"/>
        <v>#DIV/0!</v>
      </c>
    </row>
    <row r="85" spans="1:2" x14ac:dyDescent="0.25">
      <c r="A85" s="5">
        <v>22</v>
      </c>
      <c r="B85" s="5" t="e">
        <f t="shared" si="1"/>
        <v>#DIV/0!</v>
      </c>
    </row>
    <row r="86" spans="1:2" x14ac:dyDescent="0.25">
      <c r="A86" s="5">
        <v>23</v>
      </c>
      <c r="B86" s="5" t="e">
        <f t="shared" si="1"/>
        <v>#DIV/0!</v>
      </c>
    </row>
    <row r="87" spans="1:2" x14ac:dyDescent="0.25">
      <c r="A87" s="5">
        <v>24</v>
      </c>
      <c r="B87" s="5" t="e">
        <f t="shared" si="1"/>
        <v>#DIV/0!</v>
      </c>
    </row>
    <row r="88" spans="1:2" x14ac:dyDescent="0.25">
      <c r="A88" s="5">
        <v>25</v>
      </c>
      <c r="B88" s="5" t="e">
        <f t="shared" si="1"/>
        <v>#DIV/0!</v>
      </c>
    </row>
    <row r="89" spans="1:2" x14ac:dyDescent="0.25">
      <c r="A89" s="5">
        <v>26</v>
      </c>
      <c r="B89" s="5" t="e">
        <f t="shared" si="1"/>
        <v>#DIV/0!</v>
      </c>
    </row>
    <row r="90" spans="1:2" x14ac:dyDescent="0.25">
      <c r="A90" s="5">
        <v>27</v>
      </c>
      <c r="B90" s="5" t="e">
        <f t="shared" si="1"/>
        <v>#DIV/0!</v>
      </c>
    </row>
    <row r="91" spans="1:2" x14ac:dyDescent="0.25">
      <c r="A91" s="5">
        <v>28</v>
      </c>
      <c r="B91" s="5" t="e">
        <f t="shared" si="1"/>
        <v>#DIV/0!</v>
      </c>
    </row>
    <row r="92" spans="1:2" x14ac:dyDescent="0.25">
      <c r="A92" s="5">
        <v>29</v>
      </c>
      <c r="B92" s="5" t="e">
        <f t="shared" si="1"/>
        <v>#DIV/0!</v>
      </c>
    </row>
    <row r="93" spans="1:2" x14ac:dyDescent="0.25">
      <c r="A93" s="5">
        <v>30</v>
      </c>
      <c r="B93" s="5" t="e">
        <f t="shared" si="1"/>
        <v>#DIV/0!</v>
      </c>
    </row>
    <row r="94" spans="1:2" x14ac:dyDescent="0.25">
      <c r="A94" s="5">
        <v>31</v>
      </c>
      <c r="B94" s="5" t="e">
        <f t="shared" si="1"/>
        <v>#DIV/0!</v>
      </c>
    </row>
    <row r="95" spans="1:2" x14ac:dyDescent="0.25">
      <c r="A95" s="5">
        <v>32</v>
      </c>
      <c r="B95" s="5" t="e">
        <f t="shared" si="1"/>
        <v>#DIV/0!</v>
      </c>
    </row>
    <row r="96" spans="1:2" x14ac:dyDescent="0.25">
      <c r="A96" s="5">
        <v>33</v>
      </c>
      <c r="B96" s="5" t="e">
        <f t="shared" si="1"/>
        <v>#DIV/0!</v>
      </c>
    </row>
    <row r="97" spans="1:2" x14ac:dyDescent="0.25">
      <c r="A97" s="5">
        <v>34</v>
      </c>
      <c r="B97" s="5" t="e">
        <f t="shared" si="1"/>
        <v>#DIV/0!</v>
      </c>
    </row>
    <row r="98" spans="1:2" x14ac:dyDescent="0.25">
      <c r="A98" s="5">
        <v>35</v>
      </c>
      <c r="B98" s="5" t="e">
        <f t="shared" si="1"/>
        <v>#DIV/0!</v>
      </c>
    </row>
    <row r="99" spans="1:2" x14ac:dyDescent="0.25">
      <c r="A99" s="5">
        <v>36</v>
      </c>
      <c r="B99" s="5" t="e">
        <f t="shared" si="1"/>
        <v>#DIV/0!</v>
      </c>
    </row>
    <row r="100" spans="1:2" x14ac:dyDescent="0.25">
      <c r="A100" s="5">
        <v>37</v>
      </c>
      <c r="B100" s="5" t="e">
        <f t="shared" si="1"/>
        <v>#DIV/0!</v>
      </c>
    </row>
    <row r="101" spans="1:2" x14ac:dyDescent="0.25">
      <c r="A101" s="5">
        <v>38</v>
      </c>
      <c r="B101" s="5" t="e">
        <f t="shared" si="1"/>
        <v>#DIV/0!</v>
      </c>
    </row>
    <row r="102" spans="1:2" x14ac:dyDescent="0.25">
      <c r="A102" s="5">
        <v>39</v>
      </c>
      <c r="B102" s="5" t="e">
        <f t="shared" si="1"/>
        <v>#DIV/0!</v>
      </c>
    </row>
    <row r="103" spans="1:2" x14ac:dyDescent="0.25">
      <c r="A103" s="5">
        <v>40</v>
      </c>
      <c r="B103" s="5" t="e">
        <f t="shared" si="1"/>
        <v>#DIV/0!</v>
      </c>
    </row>
    <row r="104" spans="1:2" x14ac:dyDescent="0.25">
      <c r="A104" s="5">
        <v>41</v>
      </c>
      <c r="B104" s="5" t="e">
        <f t="shared" si="1"/>
        <v>#DIV/0!</v>
      </c>
    </row>
    <row r="105" spans="1:2" x14ac:dyDescent="0.25">
      <c r="A105" s="5">
        <v>42</v>
      </c>
      <c r="B105" s="5" t="e">
        <f t="shared" si="1"/>
        <v>#DIV/0!</v>
      </c>
    </row>
    <row r="106" spans="1:2" x14ac:dyDescent="0.25">
      <c r="A106" s="5">
        <v>43</v>
      </c>
      <c r="B106" s="5" t="e">
        <f t="shared" si="1"/>
        <v>#DIV/0!</v>
      </c>
    </row>
    <row r="107" spans="1:2" x14ac:dyDescent="0.25">
      <c r="A107" s="5">
        <v>44</v>
      </c>
      <c r="B107" s="5" t="e">
        <f t="shared" si="1"/>
        <v>#DIV/0!</v>
      </c>
    </row>
    <row r="108" spans="1:2" x14ac:dyDescent="0.25">
      <c r="A108" s="5">
        <v>45</v>
      </c>
      <c r="B108" s="5" t="e">
        <f t="shared" si="1"/>
        <v>#DIV/0!</v>
      </c>
    </row>
    <row r="109" spans="1:2" x14ac:dyDescent="0.25">
      <c r="A109" s="5">
        <v>46</v>
      </c>
      <c r="B109" s="5" t="e">
        <f t="shared" si="1"/>
        <v>#DIV/0!</v>
      </c>
    </row>
    <row r="110" spans="1:2" x14ac:dyDescent="0.25">
      <c r="A110" s="5">
        <v>47</v>
      </c>
      <c r="B110" s="5" t="e">
        <f t="shared" si="1"/>
        <v>#DIV/0!</v>
      </c>
    </row>
    <row r="111" spans="1:2" x14ac:dyDescent="0.25">
      <c r="A111" s="5">
        <v>48</v>
      </c>
      <c r="B111" s="5" t="e">
        <f t="shared" si="1"/>
        <v>#DIV/0!</v>
      </c>
    </row>
    <row r="112" spans="1:2" x14ac:dyDescent="0.25">
      <c r="A112" s="5">
        <v>49</v>
      </c>
      <c r="B112" s="5" t="e">
        <f t="shared" si="1"/>
        <v>#DIV/0!</v>
      </c>
    </row>
    <row r="113" spans="1:2" x14ac:dyDescent="0.25">
      <c r="A113" s="5">
        <v>50</v>
      </c>
      <c r="B113" s="5" t="e">
        <f t="shared" si="1"/>
        <v>#DIV/0!</v>
      </c>
    </row>
    <row r="114" spans="1:2" x14ac:dyDescent="0.25">
      <c r="A114" s="5">
        <v>51</v>
      </c>
      <c r="B114" s="5" t="e">
        <f t="shared" si="1"/>
        <v>#DIV/0!</v>
      </c>
    </row>
    <row r="115" spans="1:2" x14ac:dyDescent="0.25">
      <c r="A115" s="5">
        <v>52</v>
      </c>
      <c r="B115" s="5" t="e">
        <f t="shared" si="1"/>
        <v>#DIV/0!</v>
      </c>
    </row>
    <row r="116" spans="1:2" x14ac:dyDescent="0.25">
      <c r="A116" s="5">
        <v>53</v>
      </c>
      <c r="B116" s="5" t="e">
        <f t="shared" si="1"/>
        <v>#DIV/0!</v>
      </c>
    </row>
    <row r="117" spans="1:2" x14ac:dyDescent="0.25">
      <c r="A117" s="5">
        <v>54</v>
      </c>
      <c r="B117" s="5" t="e">
        <f t="shared" si="1"/>
        <v>#DIV/0!</v>
      </c>
    </row>
    <row r="118" spans="1:2" x14ac:dyDescent="0.25">
      <c r="A118" s="5">
        <v>55</v>
      </c>
      <c r="B118" s="5" t="e">
        <f t="shared" si="1"/>
        <v>#DIV/0!</v>
      </c>
    </row>
    <row r="119" spans="1:2" x14ac:dyDescent="0.25">
      <c r="A119" s="5">
        <v>56</v>
      </c>
      <c r="B119" s="5" t="e">
        <f t="shared" si="1"/>
        <v>#DIV/0!</v>
      </c>
    </row>
    <row r="120" spans="1:2" x14ac:dyDescent="0.25">
      <c r="A120" s="5">
        <v>57</v>
      </c>
      <c r="B120" s="5" t="e">
        <f t="shared" si="1"/>
        <v>#DIV/0!</v>
      </c>
    </row>
    <row r="121" spans="1:2" x14ac:dyDescent="0.25">
      <c r="A121" s="5">
        <v>58</v>
      </c>
      <c r="B121" s="5" t="e">
        <f t="shared" si="1"/>
        <v>#DIV/0!</v>
      </c>
    </row>
    <row r="122" spans="1:2" x14ac:dyDescent="0.25">
      <c r="A122" s="5">
        <v>59</v>
      </c>
      <c r="B122" s="5" t="e">
        <f t="shared" si="1"/>
        <v>#DIV/0!</v>
      </c>
    </row>
    <row r="123" spans="1:2" x14ac:dyDescent="0.25">
      <c r="A123" s="5">
        <v>60</v>
      </c>
      <c r="B123" s="5" t="e">
        <f t="shared" si="1"/>
        <v>#DIV/0!</v>
      </c>
    </row>
    <row r="124" spans="1:2" x14ac:dyDescent="0.25">
      <c r="A124" s="5">
        <v>61</v>
      </c>
      <c r="B124" s="5" t="e">
        <f t="shared" si="1"/>
        <v>#DIV/0!</v>
      </c>
    </row>
    <row r="125" spans="1:2" x14ac:dyDescent="0.25">
      <c r="A125" s="5">
        <v>62</v>
      </c>
      <c r="B125" s="5" t="e">
        <f t="shared" si="1"/>
        <v>#DIV/0!</v>
      </c>
    </row>
    <row r="126" spans="1:2" x14ac:dyDescent="0.25">
      <c r="A126" s="5">
        <v>63</v>
      </c>
      <c r="B126" s="5" t="e">
        <f t="shared" si="1"/>
        <v>#DIV/0!</v>
      </c>
    </row>
    <row r="127" spans="1:2" x14ac:dyDescent="0.25">
      <c r="A127" s="5">
        <v>64</v>
      </c>
      <c r="B127" s="5" t="e">
        <f t="shared" si="1"/>
        <v>#DIV/0!</v>
      </c>
    </row>
    <row r="128" spans="1:2" x14ac:dyDescent="0.25">
      <c r="A128" s="5">
        <v>65</v>
      </c>
      <c r="B128" s="5" t="e">
        <f t="shared" si="1"/>
        <v>#DIV/0!</v>
      </c>
    </row>
    <row r="129" spans="1:2" x14ac:dyDescent="0.25">
      <c r="A129" s="5">
        <v>66</v>
      </c>
      <c r="B129" s="5" t="e">
        <f t="shared" ref="B129:B192" si="2">IF($B$61&gt;15.5,$B$62/A129,0)</f>
        <v>#DIV/0!</v>
      </c>
    </row>
    <row r="130" spans="1:2" x14ac:dyDescent="0.25">
      <c r="A130" s="5">
        <v>67</v>
      </c>
      <c r="B130" s="5" t="e">
        <f t="shared" si="2"/>
        <v>#DIV/0!</v>
      </c>
    </row>
    <row r="131" spans="1:2" x14ac:dyDescent="0.25">
      <c r="A131" s="5">
        <v>68</v>
      </c>
      <c r="B131" s="5" t="e">
        <f t="shared" si="2"/>
        <v>#DIV/0!</v>
      </c>
    </row>
    <row r="132" spans="1:2" x14ac:dyDescent="0.25">
      <c r="A132" s="5">
        <v>69</v>
      </c>
      <c r="B132" s="5" t="e">
        <f t="shared" si="2"/>
        <v>#DIV/0!</v>
      </c>
    </row>
    <row r="133" spans="1:2" x14ac:dyDescent="0.25">
      <c r="A133" s="5">
        <v>70</v>
      </c>
      <c r="B133" s="5" t="e">
        <f t="shared" si="2"/>
        <v>#DIV/0!</v>
      </c>
    </row>
    <row r="134" spans="1:2" x14ac:dyDescent="0.25">
      <c r="A134" s="5">
        <v>71</v>
      </c>
      <c r="B134" s="5" t="e">
        <f t="shared" si="2"/>
        <v>#DIV/0!</v>
      </c>
    </row>
    <row r="135" spans="1:2" x14ac:dyDescent="0.25">
      <c r="A135" s="5">
        <v>72</v>
      </c>
      <c r="B135" s="5" t="e">
        <f t="shared" si="2"/>
        <v>#DIV/0!</v>
      </c>
    </row>
    <row r="136" spans="1:2" x14ac:dyDescent="0.25">
      <c r="A136" s="5">
        <v>73</v>
      </c>
      <c r="B136" s="5" t="e">
        <f t="shared" si="2"/>
        <v>#DIV/0!</v>
      </c>
    </row>
    <row r="137" spans="1:2" x14ac:dyDescent="0.25">
      <c r="A137" s="5">
        <v>74</v>
      </c>
      <c r="B137" s="5" t="e">
        <f t="shared" si="2"/>
        <v>#DIV/0!</v>
      </c>
    </row>
    <row r="138" spans="1:2" x14ac:dyDescent="0.25">
      <c r="A138" s="5">
        <v>75</v>
      </c>
      <c r="B138" s="5" t="e">
        <f t="shared" si="2"/>
        <v>#DIV/0!</v>
      </c>
    </row>
    <row r="139" spans="1:2" x14ac:dyDescent="0.25">
      <c r="A139" s="5">
        <v>76</v>
      </c>
      <c r="B139" s="5" t="e">
        <f t="shared" si="2"/>
        <v>#DIV/0!</v>
      </c>
    </row>
    <row r="140" spans="1:2" x14ac:dyDescent="0.25">
      <c r="A140" s="5">
        <v>77</v>
      </c>
      <c r="B140" s="5" t="e">
        <f t="shared" si="2"/>
        <v>#DIV/0!</v>
      </c>
    </row>
    <row r="141" spans="1:2" x14ac:dyDescent="0.25">
      <c r="A141" s="5">
        <v>78</v>
      </c>
      <c r="B141" s="5" t="e">
        <f t="shared" si="2"/>
        <v>#DIV/0!</v>
      </c>
    </row>
    <row r="142" spans="1:2" x14ac:dyDescent="0.25">
      <c r="A142" s="5">
        <v>79</v>
      </c>
      <c r="B142" s="5" t="e">
        <f t="shared" si="2"/>
        <v>#DIV/0!</v>
      </c>
    </row>
    <row r="143" spans="1:2" x14ac:dyDescent="0.25">
      <c r="A143" s="5">
        <v>80</v>
      </c>
      <c r="B143" s="5" t="e">
        <f t="shared" si="2"/>
        <v>#DIV/0!</v>
      </c>
    </row>
    <row r="144" spans="1:2" x14ac:dyDescent="0.25">
      <c r="A144" s="5">
        <v>81</v>
      </c>
      <c r="B144" s="5" t="e">
        <f t="shared" si="2"/>
        <v>#DIV/0!</v>
      </c>
    </row>
    <row r="145" spans="1:2" x14ac:dyDescent="0.25">
      <c r="A145" s="5">
        <v>82</v>
      </c>
      <c r="B145" s="5" t="e">
        <f t="shared" si="2"/>
        <v>#DIV/0!</v>
      </c>
    </row>
    <row r="146" spans="1:2" x14ac:dyDescent="0.25">
      <c r="A146" s="5">
        <v>83</v>
      </c>
      <c r="B146" s="5" t="e">
        <f t="shared" si="2"/>
        <v>#DIV/0!</v>
      </c>
    </row>
    <row r="147" spans="1:2" x14ac:dyDescent="0.25">
      <c r="A147" s="5">
        <v>84</v>
      </c>
      <c r="B147" s="5" t="e">
        <f t="shared" si="2"/>
        <v>#DIV/0!</v>
      </c>
    </row>
    <row r="148" spans="1:2" x14ac:dyDescent="0.25">
      <c r="A148" s="5">
        <v>85</v>
      </c>
      <c r="B148" s="5" t="e">
        <f t="shared" si="2"/>
        <v>#DIV/0!</v>
      </c>
    </row>
    <row r="149" spans="1:2" x14ac:dyDescent="0.25">
      <c r="A149" s="5">
        <v>86</v>
      </c>
      <c r="B149" s="5" t="e">
        <f t="shared" si="2"/>
        <v>#DIV/0!</v>
      </c>
    </row>
    <row r="150" spans="1:2" x14ac:dyDescent="0.25">
      <c r="A150" s="5">
        <v>87</v>
      </c>
      <c r="B150" s="5" t="e">
        <f t="shared" si="2"/>
        <v>#DIV/0!</v>
      </c>
    </row>
    <row r="151" spans="1:2" x14ac:dyDescent="0.25">
      <c r="A151" s="5">
        <v>88</v>
      </c>
      <c r="B151" s="5" t="e">
        <f t="shared" si="2"/>
        <v>#DIV/0!</v>
      </c>
    </row>
    <row r="152" spans="1:2" x14ac:dyDescent="0.25">
      <c r="A152" s="5">
        <v>89</v>
      </c>
      <c r="B152" s="5" t="e">
        <f t="shared" si="2"/>
        <v>#DIV/0!</v>
      </c>
    </row>
    <row r="153" spans="1:2" x14ac:dyDescent="0.25">
      <c r="A153" s="5">
        <v>90</v>
      </c>
      <c r="B153" s="5" t="e">
        <f t="shared" si="2"/>
        <v>#DIV/0!</v>
      </c>
    </row>
    <row r="154" spans="1:2" x14ac:dyDescent="0.25">
      <c r="A154" s="5">
        <v>91</v>
      </c>
      <c r="B154" s="5" t="e">
        <f t="shared" si="2"/>
        <v>#DIV/0!</v>
      </c>
    </row>
    <row r="155" spans="1:2" x14ac:dyDescent="0.25">
      <c r="A155" s="5">
        <v>92</v>
      </c>
      <c r="B155" s="5" t="e">
        <f t="shared" si="2"/>
        <v>#DIV/0!</v>
      </c>
    </row>
    <row r="156" spans="1:2" x14ac:dyDescent="0.25">
      <c r="A156" s="5">
        <v>93</v>
      </c>
      <c r="B156" s="5" t="e">
        <f t="shared" si="2"/>
        <v>#DIV/0!</v>
      </c>
    </row>
    <row r="157" spans="1:2" x14ac:dyDescent="0.25">
      <c r="A157" s="5">
        <v>94</v>
      </c>
      <c r="B157" s="5" t="e">
        <f t="shared" si="2"/>
        <v>#DIV/0!</v>
      </c>
    </row>
    <row r="158" spans="1:2" x14ac:dyDescent="0.25">
      <c r="A158" s="5">
        <v>95</v>
      </c>
      <c r="B158" s="5" t="e">
        <f t="shared" si="2"/>
        <v>#DIV/0!</v>
      </c>
    </row>
    <row r="159" spans="1:2" x14ac:dyDescent="0.25">
      <c r="A159" s="5">
        <v>96</v>
      </c>
      <c r="B159" s="5" t="e">
        <f t="shared" si="2"/>
        <v>#DIV/0!</v>
      </c>
    </row>
    <row r="160" spans="1:2" x14ac:dyDescent="0.25">
      <c r="A160" s="5">
        <v>97</v>
      </c>
      <c r="B160" s="5" t="e">
        <f t="shared" si="2"/>
        <v>#DIV/0!</v>
      </c>
    </row>
    <row r="161" spans="1:2" x14ac:dyDescent="0.25">
      <c r="A161" s="5">
        <v>98</v>
      </c>
      <c r="B161" s="5" t="e">
        <f t="shared" si="2"/>
        <v>#DIV/0!</v>
      </c>
    </row>
    <row r="162" spans="1:2" x14ac:dyDescent="0.25">
      <c r="A162" s="5">
        <v>99</v>
      </c>
      <c r="B162" s="5" t="e">
        <f t="shared" si="2"/>
        <v>#DIV/0!</v>
      </c>
    </row>
    <row r="163" spans="1:2" x14ac:dyDescent="0.25">
      <c r="A163" s="5">
        <v>100</v>
      </c>
      <c r="B163" s="5" t="e">
        <f t="shared" si="2"/>
        <v>#DIV/0!</v>
      </c>
    </row>
    <row r="164" spans="1:2" x14ac:dyDescent="0.25">
      <c r="A164" s="5">
        <v>101</v>
      </c>
      <c r="B164" s="5" t="e">
        <f t="shared" si="2"/>
        <v>#DIV/0!</v>
      </c>
    </row>
    <row r="165" spans="1:2" x14ac:dyDescent="0.25">
      <c r="A165" s="5">
        <v>102</v>
      </c>
      <c r="B165" s="5" t="e">
        <f t="shared" si="2"/>
        <v>#DIV/0!</v>
      </c>
    </row>
    <row r="166" spans="1:2" x14ac:dyDescent="0.25">
      <c r="A166" s="5">
        <v>103</v>
      </c>
      <c r="B166" s="5" t="e">
        <f t="shared" si="2"/>
        <v>#DIV/0!</v>
      </c>
    </row>
    <row r="167" spans="1:2" x14ac:dyDescent="0.25">
      <c r="A167" s="5">
        <v>104</v>
      </c>
      <c r="B167" s="5" t="e">
        <f t="shared" si="2"/>
        <v>#DIV/0!</v>
      </c>
    </row>
    <row r="168" spans="1:2" x14ac:dyDescent="0.25">
      <c r="A168" s="5">
        <v>105</v>
      </c>
      <c r="B168" s="5" t="e">
        <f t="shared" si="2"/>
        <v>#DIV/0!</v>
      </c>
    </row>
    <row r="169" spans="1:2" x14ac:dyDescent="0.25">
      <c r="A169" s="5">
        <v>106</v>
      </c>
      <c r="B169" s="5" t="e">
        <f t="shared" si="2"/>
        <v>#DIV/0!</v>
      </c>
    </row>
    <row r="170" spans="1:2" x14ac:dyDescent="0.25">
      <c r="A170" s="5">
        <v>107</v>
      </c>
      <c r="B170" s="5" t="e">
        <f t="shared" si="2"/>
        <v>#DIV/0!</v>
      </c>
    </row>
    <row r="171" spans="1:2" x14ac:dyDescent="0.25">
      <c r="A171" s="5">
        <v>108</v>
      </c>
      <c r="B171" s="5" t="e">
        <f t="shared" si="2"/>
        <v>#DIV/0!</v>
      </c>
    </row>
    <row r="172" spans="1:2" x14ac:dyDescent="0.25">
      <c r="A172" s="5">
        <v>109</v>
      </c>
      <c r="B172" s="5" t="e">
        <f t="shared" si="2"/>
        <v>#DIV/0!</v>
      </c>
    </row>
    <row r="173" spans="1:2" x14ac:dyDescent="0.25">
      <c r="A173" s="5">
        <v>110</v>
      </c>
      <c r="B173" s="5" t="e">
        <f t="shared" si="2"/>
        <v>#DIV/0!</v>
      </c>
    </row>
    <row r="174" spans="1:2" x14ac:dyDescent="0.25">
      <c r="A174" s="5">
        <v>111</v>
      </c>
      <c r="B174" s="5" t="e">
        <f t="shared" si="2"/>
        <v>#DIV/0!</v>
      </c>
    </row>
    <row r="175" spans="1:2" x14ac:dyDescent="0.25">
      <c r="A175" s="5">
        <v>112</v>
      </c>
      <c r="B175" s="5" t="e">
        <f t="shared" si="2"/>
        <v>#DIV/0!</v>
      </c>
    </row>
    <row r="176" spans="1:2" x14ac:dyDescent="0.25">
      <c r="A176" s="5">
        <v>113</v>
      </c>
      <c r="B176" s="5" t="e">
        <f t="shared" si="2"/>
        <v>#DIV/0!</v>
      </c>
    </row>
    <row r="177" spans="1:2" x14ac:dyDescent="0.25">
      <c r="A177" s="5">
        <v>114</v>
      </c>
      <c r="B177" s="5" t="e">
        <f t="shared" si="2"/>
        <v>#DIV/0!</v>
      </c>
    </row>
    <row r="178" spans="1:2" x14ac:dyDescent="0.25">
      <c r="A178" s="5">
        <v>115</v>
      </c>
      <c r="B178" s="5" t="e">
        <f t="shared" si="2"/>
        <v>#DIV/0!</v>
      </c>
    </row>
    <row r="179" spans="1:2" x14ac:dyDescent="0.25">
      <c r="A179" s="5">
        <v>116</v>
      </c>
      <c r="B179" s="5" t="e">
        <f t="shared" si="2"/>
        <v>#DIV/0!</v>
      </c>
    </row>
    <row r="180" spans="1:2" x14ac:dyDescent="0.25">
      <c r="A180" s="5">
        <v>117</v>
      </c>
      <c r="B180" s="5" t="e">
        <f t="shared" si="2"/>
        <v>#DIV/0!</v>
      </c>
    </row>
    <row r="181" spans="1:2" x14ac:dyDescent="0.25">
      <c r="A181" s="5">
        <v>118</v>
      </c>
      <c r="B181" s="5" t="e">
        <f t="shared" si="2"/>
        <v>#DIV/0!</v>
      </c>
    </row>
    <row r="182" spans="1:2" x14ac:dyDescent="0.25">
      <c r="A182" s="5">
        <v>119</v>
      </c>
      <c r="B182" s="5" t="e">
        <f t="shared" si="2"/>
        <v>#DIV/0!</v>
      </c>
    </row>
    <row r="183" spans="1:2" x14ac:dyDescent="0.25">
      <c r="A183" s="5">
        <v>120</v>
      </c>
      <c r="B183" s="5" t="e">
        <f t="shared" si="2"/>
        <v>#DIV/0!</v>
      </c>
    </row>
    <row r="184" spans="1:2" x14ac:dyDescent="0.25">
      <c r="A184" s="5">
        <v>121</v>
      </c>
      <c r="B184" s="5" t="e">
        <f t="shared" si="2"/>
        <v>#DIV/0!</v>
      </c>
    </row>
    <row r="185" spans="1:2" x14ac:dyDescent="0.25">
      <c r="A185" s="5">
        <v>122</v>
      </c>
      <c r="B185" s="5" t="e">
        <f t="shared" si="2"/>
        <v>#DIV/0!</v>
      </c>
    </row>
    <row r="186" spans="1:2" x14ac:dyDescent="0.25">
      <c r="A186" s="5">
        <v>123</v>
      </c>
      <c r="B186" s="5" t="e">
        <f t="shared" si="2"/>
        <v>#DIV/0!</v>
      </c>
    </row>
    <row r="187" spans="1:2" x14ac:dyDescent="0.25">
      <c r="A187" s="5">
        <v>124</v>
      </c>
      <c r="B187" s="5" t="e">
        <f t="shared" si="2"/>
        <v>#DIV/0!</v>
      </c>
    </row>
    <row r="188" spans="1:2" x14ac:dyDescent="0.25">
      <c r="A188" s="5">
        <v>125</v>
      </c>
      <c r="B188" s="5" t="e">
        <f t="shared" si="2"/>
        <v>#DIV/0!</v>
      </c>
    </row>
    <row r="189" spans="1:2" x14ac:dyDescent="0.25">
      <c r="A189" s="5">
        <v>126</v>
      </c>
      <c r="B189" s="5" t="e">
        <f t="shared" si="2"/>
        <v>#DIV/0!</v>
      </c>
    </row>
    <row r="190" spans="1:2" x14ac:dyDescent="0.25">
      <c r="A190" s="5">
        <v>127</v>
      </c>
      <c r="B190" s="5" t="e">
        <f t="shared" si="2"/>
        <v>#DIV/0!</v>
      </c>
    </row>
    <row r="191" spans="1:2" x14ac:dyDescent="0.25">
      <c r="A191" s="5">
        <v>128</v>
      </c>
      <c r="B191" s="5" t="e">
        <f t="shared" si="2"/>
        <v>#DIV/0!</v>
      </c>
    </row>
    <row r="192" spans="1:2" x14ac:dyDescent="0.25">
      <c r="A192" s="5">
        <v>129</v>
      </c>
      <c r="B192" s="5" t="e">
        <f t="shared" si="2"/>
        <v>#DIV/0!</v>
      </c>
    </row>
    <row r="193" spans="1:2" x14ac:dyDescent="0.25">
      <c r="A193" s="5">
        <v>130</v>
      </c>
      <c r="B193" s="5" t="e">
        <f t="shared" ref="B193" si="3">IF($B$61&gt;15.5,$B$62/A193,0)</f>
        <v>#DIV/0!</v>
      </c>
    </row>
    <row r="194" spans="1:2" x14ac:dyDescent="0.25">
      <c r="A194" s="5"/>
      <c r="B194" s="5"/>
    </row>
    <row r="195" spans="1:2" x14ac:dyDescent="0.25">
      <c r="A195" s="5"/>
      <c r="B195" s="5"/>
    </row>
    <row r="196" spans="1:2" ht="15" customHeight="1" x14ac:dyDescent="0.25">
      <c r="A196" s="5" t="s">
        <v>57</v>
      </c>
      <c r="B196" s="5"/>
    </row>
    <row r="197" spans="1:2" ht="15" customHeight="1" x14ac:dyDescent="0.25">
      <c r="A197" s="5"/>
      <c r="B197" s="5"/>
    </row>
    <row r="198" spans="1:2" ht="15" customHeight="1" x14ac:dyDescent="0.25">
      <c r="A198" s="5" t="s">
        <v>46</v>
      </c>
      <c r="B198" s="5" t="b">
        <f>OR(ISBLANK('62.2 RETRO (App. A)'!L13),ISBLANK('62.2 RETRO (App. A)'!L14),ISBLANK('62.2 RETRO (App. A)'!L15))</f>
        <v>1</v>
      </c>
    </row>
    <row r="199" spans="1:2" ht="15" customHeight="1" x14ac:dyDescent="0.25">
      <c r="A199" s="5" t="s">
        <v>58</v>
      </c>
      <c r="B199" s="5" t="b">
        <f>IF(AND('62.2 RETRO (App. A)'!L33="yes",OR(ISBLANK('62.2 RETRO (App. A)'!L36),ISBLANK('62.2 RETRO (App. A)'!L35)))=TRUE,TRUE,FALSE)</f>
        <v>0</v>
      </c>
    </row>
    <row r="200" spans="1:2" ht="15" customHeight="1" x14ac:dyDescent="0.25">
      <c r="A200" s="5" t="s">
        <v>59</v>
      </c>
      <c r="B200" s="5" t="b">
        <f>IF(AND('62.2 RETRO (App. A)'!M33="yes",OR(ISBLANK('62.2 RETRO (App. A)'!M36),ISBLANK('62.2 RETRO (App. A)'!M35)))=TRUE,TRUE,FALSE)</f>
        <v>0</v>
      </c>
    </row>
    <row r="201" spans="1:2" ht="15" customHeight="1" x14ac:dyDescent="0.25">
      <c r="A201" s="5" t="s">
        <v>60</v>
      </c>
      <c r="B201" s="5" t="b">
        <f>IF(AND('62.2 RETRO (App. A)'!N33="yes",OR(ISBLANK('62.2 RETRO (App. A)'!N36),ISBLANK('62.2 RETRO (App. A)'!N35)))=TRUE,TRUE,FALSE)</f>
        <v>0</v>
      </c>
    </row>
    <row r="202" spans="1:2" ht="15" customHeight="1" x14ac:dyDescent="0.25">
      <c r="A202" s="5" t="s">
        <v>61</v>
      </c>
      <c r="B202" s="5"/>
    </row>
    <row r="203" spans="1:2" ht="15" customHeight="1" x14ac:dyDescent="0.25">
      <c r="A203" s="5" t="s">
        <v>57</v>
      </c>
      <c r="B203" s="6" t="str">
        <f ca="1">IF(OR(B198=TRUE,B199=TRUE,B200=TRUE,B201=TRUE),A210,"Yes")</f>
        <v>Not quite finished.</v>
      </c>
    </row>
    <row r="204" spans="1:2" ht="15" customHeight="1" x14ac:dyDescent="0.25">
      <c r="A204" s="5" t="s">
        <v>75</v>
      </c>
      <c r="B204" s="5">
        <f ca="1">RAND()</f>
        <v>0.51429991099557182</v>
      </c>
    </row>
    <row r="205" spans="1:2" ht="15" customHeight="1" x14ac:dyDescent="0.25">
      <c r="A205" s="5">
        <v>0</v>
      </c>
      <c r="B205" s="5" t="s">
        <v>77</v>
      </c>
    </row>
    <row r="206" spans="1:2" ht="15" customHeight="1" x14ac:dyDescent="0.25">
      <c r="A206" s="5">
        <v>0.25</v>
      </c>
      <c r="B206" s="5" t="s">
        <v>127</v>
      </c>
    </row>
    <row r="207" spans="1:2" ht="15" customHeight="1" x14ac:dyDescent="0.25">
      <c r="A207" s="5">
        <v>0.5</v>
      </c>
      <c r="B207" s="5" t="s">
        <v>79</v>
      </c>
    </row>
    <row r="208" spans="1:2" ht="15" customHeight="1" x14ac:dyDescent="0.25">
      <c r="A208" s="5">
        <v>0.75</v>
      </c>
      <c r="B208" s="5" t="s">
        <v>76</v>
      </c>
    </row>
    <row r="209" spans="1:2" ht="15" customHeight="1" x14ac:dyDescent="0.25">
      <c r="A209" s="5" t="s">
        <v>78</v>
      </c>
      <c r="B209" s="5"/>
    </row>
    <row r="210" spans="1:2" ht="15" customHeight="1" x14ac:dyDescent="0.25">
      <c r="A210" s="6" t="str">
        <f ca="1">VLOOKUP(B204,A205:B208,2,TRUE)</f>
        <v>Not quite finished.</v>
      </c>
      <c r="B210" s="5"/>
    </row>
  </sheetData>
  <sheetProtection password="CCBB" sheet="1" objects="1" scenarios="1"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62.2 RETRO (App. A)</vt:lpstr>
      <vt:lpstr>under the hood RETRO (App. 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Phillips</dc:creator>
  <cp:lastModifiedBy>Melissa Dauby</cp:lastModifiedBy>
  <cp:lastPrinted>2016-11-23T02:41:32Z</cp:lastPrinted>
  <dcterms:created xsi:type="dcterms:W3CDTF">2011-09-26T00:58:12Z</dcterms:created>
  <dcterms:modified xsi:type="dcterms:W3CDTF">2022-01-03T20:30:16Z</dcterms:modified>
</cp:coreProperties>
</file>